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8260" windowHeight="17540" tabRatio="702" activeTab="2"/>
  </bookViews>
  <sheets>
    <sheet name="Two-way ANOVA" sheetId="4" r:id="rId1"/>
    <sheet name="Two-way ANOVA (Handout)" sheetId="5" r:id="rId2"/>
    <sheet name="Two-way ANOVA (Handout) (2)" sheetId="6" r:id="rId3"/>
  </sheets>
  <definedNames>
    <definedName name="_xlnm.Print_Area" localSheetId="2">'Two-way ANOVA (Handout) (2)'!$A$1:$M$34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4" l="1"/>
  <c r="L5" i="4"/>
  <c r="E24" i="6"/>
  <c r="D24" i="6"/>
  <c r="C24" i="6"/>
  <c r="K23" i="6"/>
  <c r="L23" i="6"/>
  <c r="M23" i="6"/>
  <c r="K22" i="6"/>
  <c r="L22" i="6"/>
  <c r="M22" i="6"/>
  <c r="J22" i="6"/>
  <c r="J23" i="6"/>
  <c r="L21" i="6"/>
  <c r="K21" i="6"/>
  <c r="M21" i="6"/>
  <c r="J21" i="6"/>
  <c r="C26" i="6"/>
  <c r="M14" i="6"/>
  <c r="K14" i="6"/>
  <c r="J14" i="6"/>
  <c r="L9" i="6"/>
  <c r="L8" i="6"/>
  <c r="L7" i="6"/>
  <c r="L6" i="6"/>
  <c r="J33" i="5"/>
  <c r="I33" i="5"/>
  <c r="H33" i="5"/>
  <c r="M7" i="6"/>
  <c r="J12" i="6"/>
  <c r="M9" i="6"/>
  <c r="K12" i="6"/>
  <c r="M12" i="6"/>
  <c r="M8" i="6"/>
  <c r="J13" i="6"/>
  <c r="K13" i="6"/>
  <c r="M13" i="6"/>
  <c r="M6" i="6"/>
  <c r="J11" i="6"/>
  <c r="K11" i="6"/>
  <c r="M11" i="6"/>
  <c r="M15" i="6"/>
  <c r="G32" i="6"/>
  <c r="H32" i="6"/>
  <c r="K15" i="6"/>
  <c r="J15" i="6"/>
  <c r="G31" i="6"/>
  <c r="G30" i="6"/>
  <c r="G29" i="6"/>
  <c r="G28" i="6"/>
  <c r="K9" i="6"/>
  <c r="K8" i="6"/>
  <c r="E23" i="6"/>
  <c r="D23" i="6"/>
  <c r="K7" i="6"/>
  <c r="M5" i="6"/>
  <c r="K6" i="6"/>
  <c r="K5" i="6"/>
  <c r="D20" i="6"/>
  <c r="D21" i="6"/>
  <c r="D22" i="6"/>
  <c r="G23" i="6"/>
  <c r="G20" i="6"/>
  <c r="G14" i="6"/>
  <c r="G8" i="6"/>
  <c r="C23" i="6"/>
  <c r="E22" i="6"/>
  <c r="C22" i="6"/>
  <c r="E20" i="6"/>
  <c r="E21" i="6"/>
  <c r="C20" i="6"/>
  <c r="C21" i="6"/>
  <c r="E16" i="6"/>
  <c r="D16" i="6"/>
  <c r="C16" i="6"/>
  <c r="E14" i="6"/>
  <c r="E15" i="6"/>
  <c r="D14" i="6"/>
  <c r="D15" i="6"/>
  <c r="C14" i="6"/>
  <c r="C15" i="6"/>
  <c r="E25" i="6"/>
  <c r="D25" i="6"/>
  <c r="C25" i="6"/>
  <c r="E10" i="6"/>
  <c r="D10" i="6"/>
  <c r="E8" i="6"/>
  <c r="E9" i="6"/>
  <c r="D8" i="6"/>
  <c r="D9" i="6"/>
  <c r="C8" i="6"/>
  <c r="I2" i="6"/>
  <c r="K2" i="6"/>
  <c r="G15" i="6"/>
  <c r="F32" i="6"/>
  <c r="G24" i="6"/>
  <c r="C27" i="6"/>
  <c r="C32" i="6"/>
  <c r="C28" i="6"/>
  <c r="C29" i="6"/>
  <c r="C33" i="6"/>
  <c r="C34" i="6"/>
  <c r="G33" i="6"/>
  <c r="F28" i="6"/>
  <c r="F33" i="6"/>
  <c r="F29" i="6"/>
  <c r="F30" i="6"/>
  <c r="F31" i="6"/>
  <c r="H31" i="6"/>
  <c r="I31" i="6"/>
  <c r="J31" i="6"/>
  <c r="K31" i="6"/>
  <c r="C31" i="6"/>
  <c r="H30" i="6"/>
  <c r="I30" i="6"/>
  <c r="J30" i="6"/>
  <c r="K30" i="6"/>
  <c r="H29" i="6"/>
  <c r="I29" i="6"/>
  <c r="J29" i="6"/>
  <c r="K29" i="6"/>
  <c r="G25" i="6"/>
  <c r="G21" i="6"/>
  <c r="C10" i="6"/>
  <c r="G9" i="6"/>
  <c r="C9" i="6"/>
  <c r="D12" i="4"/>
  <c r="F12" i="4"/>
  <c r="H12" i="4"/>
  <c r="J12" i="4"/>
  <c r="D13" i="4"/>
  <c r="F13" i="4"/>
  <c r="H13" i="4"/>
  <c r="J13" i="4"/>
  <c r="D14" i="4"/>
  <c r="F14" i="4"/>
  <c r="H14" i="4"/>
  <c r="J14" i="4"/>
  <c r="D15" i="4"/>
  <c r="F15" i="4"/>
  <c r="H15" i="4"/>
  <c r="J15" i="4"/>
  <c r="D16" i="4"/>
  <c r="F16" i="4"/>
  <c r="H16" i="4"/>
  <c r="J16" i="4"/>
  <c r="D20" i="4"/>
  <c r="F20" i="4"/>
  <c r="H20" i="4"/>
  <c r="J20" i="4"/>
  <c r="D21" i="4"/>
  <c r="F21" i="4"/>
  <c r="H21" i="4"/>
  <c r="J21" i="4"/>
  <c r="D22" i="4"/>
  <c r="F22" i="4"/>
  <c r="H22" i="4"/>
  <c r="J22" i="4"/>
  <c r="D23" i="4"/>
  <c r="F23" i="4"/>
  <c r="H23" i="4"/>
  <c r="J23" i="4"/>
  <c r="D24" i="4"/>
  <c r="F24" i="4"/>
  <c r="H24" i="4"/>
  <c r="J24" i="4"/>
  <c r="D17" i="4"/>
  <c r="F17" i="4"/>
  <c r="H17" i="4"/>
  <c r="J17" i="4"/>
  <c r="D25" i="4"/>
  <c r="F25" i="4"/>
  <c r="H25" i="4"/>
  <c r="J25" i="4"/>
  <c r="C31" i="4"/>
  <c r="C32" i="4"/>
  <c r="C33" i="4"/>
  <c r="C34" i="4"/>
  <c r="I9" i="4"/>
  <c r="C37" i="4"/>
  <c r="J7" i="4"/>
  <c r="H7" i="4"/>
  <c r="F7" i="4"/>
  <c r="D7" i="4"/>
  <c r="J28" i="4"/>
  <c r="J29" i="4"/>
  <c r="H28" i="4"/>
  <c r="H29" i="4"/>
  <c r="F28" i="4"/>
  <c r="F29" i="4"/>
  <c r="D28" i="4"/>
  <c r="D29" i="4"/>
  <c r="L28" i="4"/>
  <c r="L29" i="4"/>
  <c r="G33" i="4"/>
  <c r="G34" i="4"/>
  <c r="L17" i="4"/>
  <c r="L25" i="4"/>
  <c r="K9" i="4"/>
  <c r="G35" i="4"/>
  <c r="G36" i="4"/>
  <c r="F34" i="4"/>
  <c r="F35" i="4"/>
  <c r="F36" i="4"/>
  <c r="H36" i="4"/>
  <c r="G37" i="4"/>
  <c r="F37" i="4"/>
  <c r="H37" i="4"/>
  <c r="I36" i="4"/>
  <c r="J36" i="4"/>
  <c r="K36" i="4"/>
  <c r="H35" i="4"/>
  <c r="I35" i="4"/>
  <c r="J35" i="4"/>
  <c r="K35" i="4"/>
  <c r="H34" i="4"/>
  <c r="I34" i="4"/>
  <c r="J34" i="4"/>
  <c r="K34" i="4"/>
  <c r="J26" i="4"/>
  <c r="R6" i="4"/>
  <c r="H26" i="4"/>
  <c r="R5" i="4"/>
  <c r="F26" i="4"/>
  <c r="R4" i="4"/>
  <c r="D26" i="4"/>
  <c r="R3" i="4"/>
  <c r="J18" i="4"/>
  <c r="Q6" i="4"/>
  <c r="H18" i="4"/>
  <c r="Q5" i="4"/>
  <c r="F18" i="4"/>
  <c r="Q4" i="4"/>
  <c r="D18" i="4"/>
  <c r="Q3" i="4"/>
  <c r="P6" i="4"/>
  <c r="P5" i="4"/>
  <c r="P4" i="4"/>
  <c r="P3" i="4"/>
  <c r="O6" i="4"/>
  <c r="O5" i="4"/>
  <c r="O4" i="4"/>
  <c r="O3" i="4"/>
  <c r="G38" i="4"/>
  <c r="F33" i="4"/>
  <c r="F38" i="4"/>
  <c r="C38" i="4"/>
  <c r="C39" i="4"/>
  <c r="C36" i="4"/>
  <c r="D19" i="4"/>
  <c r="F19" i="4"/>
  <c r="H19" i="4"/>
  <c r="J19" i="4"/>
  <c r="D27" i="4"/>
  <c r="F27" i="4"/>
  <c r="H27" i="4"/>
  <c r="J27" i="4"/>
  <c r="L30" i="4"/>
  <c r="L26" i="4"/>
  <c r="L18" i="4"/>
  <c r="L7" i="4"/>
  <c r="D17" i="5"/>
  <c r="F17" i="5"/>
  <c r="H17" i="5"/>
  <c r="J17" i="5"/>
  <c r="D25" i="5"/>
  <c r="F25" i="5"/>
  <c r="H25" i="5"/>
  <c r="J25" i="5"/>
  <c r="G37" i="5"/>
  <c r="F37" i="5"/>
  <c r="H37" i="5"/>
  <c r="L29" i="5"/>
  <c r="O39" i="5"/>
  <c r="K9" i="5"/>
  <c r="O36" i="5"/>
  <c r="I9" i="5"/>
  <c r="O33" i="5"/>
  <c r="C32" i="5"/>
  <c r="C37" i="5"/>
  <c r="C31" i="5"/>
  <c r="C33" i="5"/>
  <c r="C34" i="5"/>
  <c r="C38" i="5"/>
  <c r="C39" i="5"/>
  <c r="L28" i="5"/>
  <c r="G33" i="5"/>
  <c r="G38" i="5"/>
  <c r="F33" i="5"/>
  <c r="F38" i="5"/>
  <c r="D28" i="5"/>
  <c r="F28" i="5"/>
  <c r="H28" i="5"/>
  <c r="J28" i="5"/>
  <c r="G34" i="5"/>
  <c r="L17" i="5"/>
  <c r="L25" i="5"/>
  <c r="G35" i="5"/>
  <c r="G36" i="5"/>
  <c r="F34" i="5"/>
  <c r="F35" i="5"/>
  <c r="F36" i="5"/>
  <c r="H36" i="5"/>
  <c r="I36" i="5"/>
  <c r="J36" i="5"/>
  <c r="K36" i="5"/>
  <c r="C36" i="5"/>
  <c r="H35" i="5"/>
  <c r="I35" i="5"/>
  <c r="J35" i="5"/>
  <c r="K35" i="5"/>
  <c r="H34" i="5"/>
  <c r="I34" i="5"/>
  <c r="J34" i="5"/>
  <c r="K34" i="5"/>
  <c r="L30" i="5"/>
  <c r="J29" i="5"/>
  <c r="H29" i="5"/>
  <c r="F29" i="5"/>
  <c r="D29" i="5"/>
  <c r="J27" i="5"/>
  <c r="H27" i="5"/>
  <c r="F27" i="5"/>
  <c r="D27" i="5"/>
  <c r="L26" i="5"/>
  <c r="J26" i="5"/>
  <c r="H26" i="5"/>
  <c r="F26" i="5"/>
  <c r="D26" i="5"/>
  <c r="J19" i="5"/>
  <c r="H19" i="5"/>
  <c r="F19" i="5"/>
  <c r="D19" i="5"/>
  <c r="L18" i="5"/>
  <c r="J18" i="5"/>
  <c r="H18" i="5"/>
  <c r="F18" i="5"/>
  <c r="D18" i="5"/>
  <c r="D7" i="5"/>
  <c r="F7" i="5"/>
  <c r="H7" i="5"/>
  <c r="J7" i="5"/>
  <c r="L7" i="5"/>
  <c r="R6" i="5"/>
  <c r="Q6" i="5"/>
  <c r="P6" i="5"/>
  <c r="O6" i="5"/>
  <c r="R5" i="5"/>
  <c r="Q5" i="5"/>
  <c r="P5" i="5"/>
  <c r="O5" i="5"/>
  <c r="L5" i="5"/>
  <c r="R4" i="5"/>
  <c r="Q4" i="5"/>
  <c r="P4" i="5"/>
  <c r="O4" i="5"/>
  <c r="R3" i="5"/>
  <c r="Q3" i="5"/>
  <c r="P3" i="5"/>
  <c r="O3" i="5"/>
  <c r="L3" i="5"/>
</calcChain>
</file>

<file path=xl/sharedStrings.xml><?xml version="1.0" encoding="utf-8"?>
<sst xmlns="http://schemas.openxmlformats.org/spreadsheetml/2006/main" count="367" uniqueCount="223">
  <si>
    <r>
      <t>T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</si>
  <si>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</si>
  <si>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</si>
  <si>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</si>
  <si>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</si>
  <si>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</si>
  <si>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</si>
  <si>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</si>
  <si>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</si>
  <si>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</si>
  <si>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111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</si>
  <si>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121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</si>
  <si>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131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</si>
  <si>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141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</si>
  <si>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211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</si>
  <si>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221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</si>
  <si>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231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</si>
  <si>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241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</si>
  <si>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311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</si>
  <si>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321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</si>
  <si>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331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</si>
  <si>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341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</si>
  <si>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411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</si>
  <si>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421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</si>
  <si>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441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</si>
  <si>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511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</si>
  <si>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521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</si>
  <si>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531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</si>
  <si>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541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</si>
  <si>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112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</si>
  <si>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122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</si>
  <si>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132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</si>
  <si>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142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</si>
  <si>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212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</si>
  <si>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222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</si>
  <si>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232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</si>
  <si>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</si>
  <si>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312</t>
    </r>
    <r>
      <rPr>
        <sz val="18"/>
        <color indexed="9"/>
        <rFont val="Times"/>
      </rPr>
      <t xml:space="preserve"> =</t>
    </r>
  </si>
  <si>
    <t>Level 1: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</si>
  <si>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</si>
  <si>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</si>
  <si>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CI around M</t>
    </r>
    <r>
      <rPr>
        <vertAlign val="subscript"/>
        <sz val="18"/>
        <color indexed="9"/>
        <rFont val="Times"/>
      </rPr>
      <t>jk</t>
    </r>
    <r>
      <rPr>
        <sz val="18"/>
        <color indexed="9"/>
        <rFont val="Times"/>
      </rPr>
      <t>'s (HOV):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</si>
  <si>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</si>
  <si>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121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</si>
  <si>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</si>
  <si>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</si>
  <si>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</si>
  <si>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</si>
  <si>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</si>
  <si>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</si>
  <si>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</si>
  <si>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</si>
  <si>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</si>
  <si>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</si>
  <si>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</si>
  <si>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</si>
  <si>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</si>
  <si>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</si>
  <si>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</si>
  <si>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</si>
  <si>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</si>
  <si>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</si>
  <si>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</si>
  <si>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</si>
  <si>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</si>
  <si>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</si>
  <si>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532</t>
    </r>
    <r>
      <rPr>
        <sz val="18"/>
        <color indexed="9"/>
        <rFont val="Times"/>
      </rPr>
      <t xml:space="preserve"> =</t>
    </r>
    <phoneticPr fontId="2" type="noConversion"/>
  </si>
  <si>
    <t>Total</t>
    <phoneticPr fontId="2" type="noConversion"/>
  </si>
  <si>
    <t>Factor 2: Delay Interval</t>
  </si>
  <si>
    <t>Crit F</t>
    <phoneticPr fontId="2" type="noConversion"/>
  </si>
  <si>
    <t>Cols</t>
    <phoneticPr fontId="2" type="noConversion"/>
  </si>
  <si>
    <t>Rows</t>
    <phoneticPr fontId="2" type="noConversion"/>
  </si>
  <si>
    <t>30%</t>
    <phoneticPr fontId="2" type="noConversion"/>
  </si>
  <si>
    <t>45%</t>
    <phoneticPr fontId="2" type="noConversion"/>
  </si>
  <si>
    <r>
      <t>T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</si>
  <si>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</si>
  <si>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</si>
  <si>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</si>
  <si>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</si>
  <si>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>K =</t>
    <phoneticPr fontId="2" type="noConversion"/>
  </si>
  <si>
    <r>
      <t>n</t>
    </r>
    <r>
      <rPr>
        <vertAlign val="subscript"/>
        <sz val="18"/>
        <color indexed="9"/>
        <rFont val="Times"/>
      </rPr>
      <t>C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</si>
  <si>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R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</si>
  <si>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421</t>
    </r>
    <r>
      <rPr>
        <sz val="18"/>
        <color indexed="9"/>
        <rFont val="Times"/>
      </rPr>
      <t xml:space="preserve"> =</t>
    </r>
    <phoneticPr fontId="2" type="noConversion"/>
  </si>
  <si>
    <t>CI = ±</t>
    <phoneticPr fontId="2" type="noConversion"/>
  </si>
  <si>
    <t>1%</t>
    <phoneticPr fontId="2" type="noConversion"/>
  </si>
  <si>
    <t>SS</t>
    <phoneticPr fontId="2" type="noConversion"/>
  </si>
  <si>
    <t>MS</t>
    <phoneticPr fontId="2" type="noConversion"/>
  </si>
  <si>
    <t>Obt F</t>
    <phoneticPr fontId="2" type="noConversion"/>
  </si>
  <si>
    <r>
      <t>T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</si>
  <si>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</si>
  <si>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MSW =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</si>
  <si>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T = </t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</si>
  <si>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</si>
  <si>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t>Level 4:</t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</si>
  <si>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</si>
  <si>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</si>
  <si>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</si>
  <si>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</si>
  <si>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</si>
  <si>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</si>
  <si>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</si>
  <si>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SSW =</t>
    <phoneticPr fontId="2" type="noConversion"/>
  </si>
  <si>
    <r>
      <t>T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</si>
  <si>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</si>
  <si>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</si>
  <si>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111</t>
    </r>
    <r>
      <rPr>
        <sz val="18"/>
        <color indexed="9"/>
        <rFont val="Times"/>
      </rPr>
      <t xml:space="preserve"> =</t>
    </r>
    <phoneticPr fontId="2" type="noConversion"/>
  </si>
  <si>
    <t>Factor 1: Amount of Degradation (percent pixels removed)</t>
    <phoneticPr fontId="2" type="noConversion"/>
  </si>
  <si>
    <t>Delayed test</t>
    <phoneticPr fontId="2" type="noConversion"/>
  </si>
  <si>
    <t xml:space="preserve">Immediate test  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</si>
  <si>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</si>
  <si>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112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</si>
  <si>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</si>
  <si>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Level 1: Immediate test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</si>
  <si>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</t>
    </r>
    <phoneticPr fontId="2" type="noConversion"/>
  </si>
  <si>
    <t>M =</t>
    <phoneticPr fontId="2" type="noConversion"/>
  </si>
  <si>
    <t>Source</t>
    <phoneticPr fontId="2" type="noConversion"/>
  </si>
  <si>
    <t>df</t>
    <phoneticPr fontId="2" type="noConversion"/>
  </si>
  <si>
    <r>
      <t>T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</si>
  <si>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</si>
  <si>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</si>
  <si>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</si>
  <si>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</si>
  <si>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</si>
  <si>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542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</si>
  <si>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</si>
  <si>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t>crit t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</si>
  <si>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Mjk</t>
    </r>
    <r>
      <rPr>
        <sz val="18"/>
        <color indexed="9"/>
        <rFont val="Times"/>
      </rPr>
      <t xml:space="preserve"> = </t>
    </r>
    <phoneticPr fontId="2" type="noConversion"/>
  </si>
  <si>
    <t>ANOVA</t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</si>
  <si>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</si>
  <si>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</si>
  <si>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t>Level 2: One-week delayed test</t>
    <phoneticPr fontId="2" type="noConversion"/>
  </si>
  <si>
    <t>Level 2:</t>
    <phoneticPr fontId="2" type="noConversion"/>
  </si>
  <si>
    <t>Level 3: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</si>
  <si>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</si>
  <si>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</si>
  <si>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Decision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</si>
  <si>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</si>
  <si>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</si>
  <si>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</si>
  <si>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</si>
  <si>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</si>
  <si>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</si>
  <si>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</si>
  <si>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t>More confidence intervals</t>
    <phoneticPr fontId="2" type="noConversion"/>
  </si>
  <si>
    <r>
      <t>x</t>
    </r>
    <r>
      <rPr>
        <vertAlign val="subscript"/>
        <sz val="18"/>
        <color indexed="9"/>
        <rFont val="Times"/>
      </rPr>
      <t>322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</si>
  <si>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332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</si>
  <si>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342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</si>
  <si>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412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</si>
  <si>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422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</si>
  <si>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442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</si>
  <si>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512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</si>
  <si>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522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</si>
  <si>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532</t>
    </r>
    <r>
      <rPr>
        <sz val="18"/>
        <color indexed="9"/>
        <rFont val="Times"/>
      </rPr>
      <t xml:space="preserve"> =</t>
    </r>
  </si>
  <si>
    <r>
      <t>x</t>
    </r>
    <r>
      <rPr>
        <vertAlign val="subscript"/>
        <sz val="18"/>
        <color indexed="9"/>
        <rFont val="Times"/>
      </rPr>
      <t>542</t>
    </r>
    <r>
      <rPr>
        <sz val="18"/>
        <color indexed="9"/>
        <rFont val="Times"/>
      </rPr>
      <t xml:space="preserve"> =</t>
    </r>
  </si>
  <si>
    <t>Factor 2: Delay Interval</t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</si>
  <si>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</si>
  <si>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</si>
  <si>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</si>
  <si>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</si>
  <si>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</si>
  <si>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</si>
  <si>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</si>
  <si>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</si>
  <si>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</si>
  <si>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</si>
  <si>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</si>
  <si>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</si>
  <si>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</si>
  <si>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</si>
  <si>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>CxR</t>
    <phoneticPr fontId="2" type="noConversion"/>
  </si>
  <si>
    <t>Within</t>
    <phoneticPr fontId="2" type="noConversion"/>
  </si>
  <si>
    <t xml:space="preserve">CI % = </t>
    <phoneticPr fontId="2" type="noConversion"/>
  </si>
  <si>
    <t>For Graph:</t>
    <phoneticPr fontId="2" type="noConversion"/>
  </si>
  <si>
    <t xml:space="preserve">n = </t>
    <phoneticPr fontId="2" type="noConversion"/>
  </si>
  <si>
    <t>15%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</si>
  <si>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</si>
  <si>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</si>
  <si>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dfW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</si>
  <si>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</si>
  <si>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</si>
  <si>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</si>
  <si>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</si>
  <si>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</si>
  <si>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</si>
  <si>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</si>
  <si>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</si>
  <si>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</si>
  <si>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</si>
  <si>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</si>
  <si>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</si>
  <si>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</si>
  <si>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222</t>
    </r>
    <r>
      <rPr>
        <sz val="18"/>
        <color indexed="9"/>
        <rFont val="Times"/>
      </rPr>
      <t xml:space="preserve"> =</t>
    </r>
    <phoneticPr fontId="2" type="noConversion"/>
  </si>
  <si>
    <t>Degradation</t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</si>
  <si>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</si>
  <si>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 xml:space="preserve">J = </t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</si>
  <si>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</si>
  <si>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t>Btwn</t>
    <phoneticPr fontId="2" type="noConversion"/>
  </si>
  <si>
    <r>
      <t xml:space="preserve">Reality: The </t>
    </r>
    <r>
      <rPr>
        <sz val="30"/>
        <color indexed="9"/>
        <rFont val="Symbol"/>
      </rPr>
      <t>m</t>
    </r>
    <r>
      <rPr>
        <sz val="30"/>
        <color indexed="9"/>
        <rFont val="Times"/>
      </rPr>
      <t>'s</t>
    </r>
    <phoneticPr fontId="2" type="noConversion"/>
  </si>
  <si>
    <r>
      <t>Around M</t>
    </r>
    <r>
      <rPr>
        <vertAlign val="subscript"/>
        <sz val="18"/>
        <rFont val="Times"/>
      </rPr>
      <t>Cj</t>
    </r>
  </si>
  <si>
    <r>
      <rPr>
        <sz val="18"/>
        <rFont val="Symbol"/>
      </rPr>
      <t>s</t>
    </r>
    <r>
      <rPr>
        <vertAlign val="subscript"/>
        <sz val="18"/>
        <rFont val="Times"/>
      </rPr>
      <t>M</t>
    </r>
  </si>
  <si>
    <t>Around MRk</t>
  </si>
  <si>
    <t>Around M</t>
  </si>
  <si>
    <t xml:space="preserve">Everything: </t>
  </si>
  <si>
    <t xml:space="preserve">Cells: </t>
  </si>
  <si>
    <t xml:space="preserve">Columns: </t>
  </si>
  <si>
    <t xml:space="preserve">Rows: </t>
  </si>
  <si>
    <t xml:space="preserve">SSB = </t>
  </si>
  <si>
    <t xml:space="preserve">SSC = </t>
  </si>
  <si>
    <t xml:space="preserve">SSR = </t>
  </si>
  <si>
    <t xml:space="preserve">SSI = </t>
  </si>
  <si>
    <t xml:space="preserve">SSW = </t>
  </si>
  <si>
    <r>
      <t>Around M</t>
    </r>
    <r>
      <rPr>
        <vertAlign val="subscript"/>
        <sz val="18"/>
        <rFont val="Times"/>
      </rPr>
      <t>Rk</t>
    </r>
  </si>
  <si>
    <t xml:space="preserve">Total: </t>
  </si>
  <si>
    <r>
      <rPr>
        <sz val="18"/>
        <rFont val="Symbol"/>
      </rPr>
      <t>SSS</t>
    </r>
    <r>
      <rPr>
        <sz val="18"/>
        <rFont val="Times"/>
      </rPr>
      <t>X</t>
    </r>
    <r>
      <rPr>
        <vertAlign val="subscript"/>
        <sz val="18"/>
        <rFont val="Times"/>
      </rPr>
      <t>ijk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 xml:space="preserve"> </t>
    </r>
    <r>
      <rPr>
        <sz val="18"/>
        <rFont val="Times"/>
      </rPr>
      <t xml:space="preserve"> =</t>
    </r>
  </si>
  <si>
    <r>
      <rPr>
        <sz val="18"/>
        <rFont val="Symbol"/>
      </rPr>
      <t>S</t>
    </r>
    <r>
      <rPr>
        <sz val="18"/>
        <rFont val="Times"/>
      </rPr>
      <t>T</t>
    </r>
    <r>
      <rPr>
        <vertAlign val="subscript"/>
        <sz val="18"/>
        <rFont val="Times"/>
      </rPr>
      <t>Cj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 xml:space="preserve"> </t>
    </r>
    <r>
      <rPr>
        <sz val="18"/>
        <rFont val="Times"/>
      </rPr>
      <t xml:space="preserve"> =</t>
    </r>
  </si>
  <si>
    <r>
      <rPr>
        <sz val="18"/>
        <rFont val="Symbol"/>
      </rPr>
      <t>S</t>
    </r>
    <r>
      <rPr>
        <sz val="18"/>
        <rFont val="Times"/>
      </rPr>
      <t>T</t>
    </r>
    <r>
      <rPr>
        <vertAlign val="subscript"/>
        <sz val="18"/>
        <rFont val="Times"/>
      </rPr>
      <t>Rk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 xml:space="preserve"> </t>
    </r>
    <r>
      <rPr>
        <sz val="18"/>
        <rFont val="Times"/>
      </rPr>
      <t xml:space="preserve"> =</t>
    </r>
  </si>
  <si>
    <r>
      <t>T</t>
    </r>
    <r>
      <rPr>
        <vertAlign val="superscript"/>
        <sz val="18"/>
        <rFont val="Times"/>
      </rPr>
      <t xml:space="preserve">2 </t>
    </r>
    <r>
      <rPr>
        <sz val="18"/>
        <rFont val="Times"/>
      </rPr>
      <t xml:space="preserve"> = </t>
    </r>
  </si>
  <si>
    <r>
      <t>T</t>
    </r>
    <r>
      <rPr>
        <vertAlign val="subscript"/>
        <sz val="18"/>
        <rFont val="Times"/>
      </rPr>
      <t>jk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 xml:space="preserve"> </t>
    </r>
    <r>
      <rPr>
        <sz val="18"/>
        <rFont val="Times"/>
      </rPr>
      <t xml:space="preserve"> = </t>
    </r>
  </si>
  <si>
    <t>n</t>
  </si>
  <si>
    <t>Crit t</t>
  </si>
  <si>
    <t>CI</t>
  </si>
  <si>
    <t>Factor 1: Amount of Alcohol Consumed</t>
  </si>
  <si>
    <t>Factor 2: Amount of Alcohol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</si>
</sst>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1" x14ac:knownFonts="1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30"/>
      <color indexed="9"/>
      <name val="Symbol"/>
    </font>
    <font>
      <sz val="30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  <font>
      <vertAlign val="subscript"/>
      <sz val="18"/>
      <name val="Times"/>
    </font>
    <font>
      <sz val="18"/>
      <name val="Symbol"/>
    </font>
    <font>
      <u/>
      <sz val="18"/>
      <color theme="10"/>
      <name val="Times"/>
    </font>
    <font>
      <u/>
      <sz val="18"/>
      <color theme="11"/>
      <name val="Times"/>
    </font>
    <font>
      <vertAlign val="superscript"/>
      <sz val="18"/>
      <name val="Times"/>
    </font>
    <font>
      <sz val="9"/>
      <name val="Times"/>
    </font>
    <font>
      <u/>
      <sz val="18"/>
      <name val="Times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9"/>
      </right>
      <top/>
      <bottom style="medium">
        <color indexed="9"/>
      </bottom>
      <diagonal/>
    </border>
    <border>
      <left style="thin">
        <color indexed="9"/>
      </left>
      <right style="thick">
        <color indexed="9"/>
      </right>
      <top/>
      <bottom/>
      <diagonal/>
    </border>
    <border>
      <left style="thin">
        <color indexed="9"/>
      </left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 style="medium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08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2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7" fillId="0" borderId="0" applyNumberFormat="0" applyFill="0" applyBorder="0" applyAlignment="0" applyProtection="0">
      <alignment horizontal="center" vertical="center"/>
    </xf>
  </cellStyleXfs>
  <cellXfs count="263">
    <xf numFmtId="4" fontId="0" fillId="0" borderId="0" xfId="0">
      <alignment horizontal="center" vertical="center"/>
    </xf>
    <xf numFmtId="4" fontId="3" fillId="0" borderId="0" xfId="0" applyFont="1">
      <alignment horizontal="center" vertical="center"/>
    </xf>
    <xf numFmtId="4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" fontId="3" fillId="0" borderId="0" xfId="0" applyFont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/>
    </xf>
    <xf numFmtId="4" fontId="0" fillId="2" borderId="0" xfId="0" applyFill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5" fillId="4" borderId="1" xfId="0" applyFont="1" applyFill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right" vertical="center"/>
    </xf>
    <xf numFmtId="4" fontId="3" fillId="0" borderId="0" xfId="0" applyFont="1" applyBorder="1" applyAlignment="1">
      <alignment horizontal="left" vertical="center"/>
    </xf>
    <xf numFmtId="4" fontId="5" fillId="5" borderId="0" xfId="0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left" vertical="center"/>
    </xf>
    <xf numFmtId="4" fontId="6" fillId="6" borderId="0" xfId="0" applyFont="1" applyFill="1" applyBorder="1" applyAlignment="1">
      <alignment horizontal="right"/>
    </xf>
    <xf numFmtId="4" fontId="5" fillId="6" borderId="0" xfId="0" applyFont="1" applyFill="1" applyBorder="1" applyAlignment="1">
      <alignment horizontal="center" vertical="center"/>
    </xf>
    <xf numFmtId="4" fontId="5" fillId="5" borderId="2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center" vertical="center"/>
    </xf>
    <xf numFmtId="3" fontId="5" fillId="6" borderId="0" xfId="1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4" fontId="5" fillId="5" borderId="1" xfId="0" applyFont="1" applyFill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5" fillId="6" borderId="0" xfId="0" applyFont="1" applyFill="1" applyBorder="1">
      <alignment horizontal="center" vertical="center"/>
    </xf>
    <xf numFmtId="4" fontId="5" fillId="6" borderId="0" xfId="0" applyFont="1" applyFill="1" applyBorder="1" applyAlignment="1">
      <alignment horizontal="right"/>
    </xf>
    <xf numFmtId="4" fontId="5" fillId="6" borderId="0" xfId="0" quotePrefix="1" applyFont="1" applyFill="1" applyBorder="1" applyAlignment="1">
      <alignment horizontal="left" vertical="center"/>
    </xf>
    <xf numFmtId="4" fontId="5" fillId="5" borderId="0" xfId="0" quotePrefix="1" applyFont="1" applyFill="1" applyBorder="1" applyAlignment="1">
      <alignment horizontal="left" vertical="center"/>
    </xf>
    <xf numFmtId="4" fontId="5" fillId="5" borderId="0" xfId="0" applyFont="1" applyFill="1" applyBorder="1" applyAlignment="1">
      <alignment horizontal="left" vertical="center"/>
    </xf>
    <xf numFmtId="164" fontId="5" fillId="5" borderId="0" xfId="0" quotePrefix="1" applyNumberFormat="1" applyFont="1" applyFill="1" applyBorder="1" applyAlignment="1">
      <alignment horizontal="left" vertical="center"/>
    </xf>
    <xf numFmtId="4" fontId="5" fillId="5" borderId="0" xfId="0" applyNumberFormat="1" applyFont="1" applyFill="1" applyBorder="1" applyAlignment="1">
      <alignment horizontal="left" vertical="center"/>
    </xf>
    <xf numFmtId="4" fontId="5" fillId="5" borderId="7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right" vertical="center" textRotation="90" wrapText="1"/>
    </xf>
    <xf numFmtId="4" fontId="3" fillId="7" borderId="8" xfId="0" applyFont="1" applyFill="1" applyBorder="1">
      <alignment horizontal="center" vertical="center"/>
    </xf>
    <xf numFmtId="4" fontId="3" fillId="7" borderId="2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4" fontId="5" fillId="5" borderId="12" xfId="0" applyFont="1" applyFill="1" applyBorder="1" applyAlignment="1">
      <alignment horizontal="right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right"/>
    </xf>
    <xf numFmtId="164" fontId="5" fillId="6" borderId="8" xfId="0" quotePrefix="1" applyNumberFormat="1" applyFont="1" applyFill="1" applyBorder="1" applyAlignment="1">
      <alignment horizontal="left" vertical="center"/>
    </xf>
    <xf numFmtId="4" fontId="5" fillId="6" borderId="8" xfId="0" applyFont="1" applyFill="1" applyBorder="1" applyAlignment="1">
      <alignment horizontal="center" vertical="center"/>
    </xf>
    <xf numFmtId="3" fontId="5" fillId="5" borderId="15" xfId="0" applyNumberFormat="1" applyFont="1" applyFill="1" applyBorder="1" applyAlignment="1">
      <alignment horizontal="center" vertical="center"/>
    </xf>
    <xf numFmtId="4" fontId="5" fillId="6" borderId="8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 textRotation="90" wrapText="1"/>
    </xf>
    <xf numFmtId="4" fontId="5" fillId="6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3" xfId="0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4" fontId="5" fillId="4" borderId="13" xfId="0" applyFont="1" applyFill="1" applyBorder="1" applyAlignment="1">
      <alignment horizontal="left" vertical="center"/>
    </xf>
    <xf numFmtId="3" fontId="6" fillId="4" borderId="20" xfId="0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4" fontId="3" fillId="4" borderId="0" xfId="0" applyFont="1" applyFill="1">
      <alignment horizontal="center" vertical="center"/>
    </xf>
    <xf numFmtId="4" fontId="5" fillId="0" borderId="0" xfId="0" applyFont="1" applyBorder="1" applyAlignment="1">
      <alignment horizontal="center" vertical="center"/>
    </xf>
    <xf numFmtId="165" fontId="5" fillId="3" borderId="0" xfId="0" applyNumberFormat="1" applyFont="1" applyFill="1" applyBorder="1" applyAlignment="1"/>
    <xf numFmtId="4" fontId="5" fillId="3" borderId="0" xfId="0" applyFont="1" applyFill="1" applyAlignment="1">
      <alignment horizontal="center"/>
    </xf>
    <xf numFmtId="4" fontId="5" fillId="3" borderId="0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4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Font="1" applyFill="1" applyAlignment="1">
      <alignment horizontal="left"/>
    </xf>
    <xf numFmtId="4" fontId="5" fillId="3" borderId="1" xfId="0" applyFont="1" applyFill="1" applyBorder="1" applyAlignment="1">
      <alignment horizontal="center"/>
    </xf>
    <xf numFmtId="4" fontId="5" fillId="3" borderId="1" xfId="0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left"/>
    </xf>
    <xf numFmtId="4" fontId="3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left"/>
    </xf>
    <xf numFmtId="165" fontId="5" fillId="3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4" fillId="3" borderId="0" xfId="0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right"/>
    </xf>
    <xf numFmtId="3" fontId="6" fillId="4" borderId="24" xfId="0" applyNumberFormat="1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right"/>
    </xf>
    <xf numFmtId="4" fontId="5" fillId="6" borderId="0" xfId="0" applyFont="1" applyFill="1" applyBorder="1" applyAlignment="1">
      <alignment horizontal="left"/>
    </xf>
    <xf numFmtId="9" fontId="5" fillId="6" borderId="0" xfId="1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left"/>
    </xf>
    <xf numFmtId="4" fontId="5" fillId="4" borderId="17" xfId="0" applyFont="1" applyFill="1" applyBorder="1" applyAlignment="1">
      <alignment horizontal="right" vertical="center"/>
    </xf>
    <xf numFmtId="4" fontId="5" fillId="4" borderId="1" xfId="0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left" vertical="center"/>
    </xf>
    <xf numFmtId="164" fontId="5" fillId="5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Border="1" applyAlignment="1">
      <alignment horizontal="right"/>
    </xf>
    <xf numFmtId="4" fontId="3" fillId="2" borderId="0" xfId="0" applyFont="1" applyFill="1" applyAlignment="1">
      <alignment horizontal="center" vertical="center"/>
    </xf>
    <xf numFmtId="4" fontId="3" fillId="2" borderId="0" xfId="0" applyFont="1" applyFill="1">
      <alignment horizontal="center" vertical="center"/>
    </xf>
    <xf numFmtId="4" fontId="5" fillId="5" borderId="0" xfId="0" applyFont="1" applyFill="1" applyBorder="1" applyAlignment="1">
      <alignment horizontal="right" vertical="center" textRotation="90" wrapText="1"/>
    </xf>
    <xf numFmtId="4" fontId="5" fillId="5" borderId="8" xfId="0" applyFont="1" applyFill="1" applyBorder="1" applyAlignment="1">
      <alignment horizontal="right" vertical="center" textRotation="90" wrapText="1"/>
    </xf>
    <xf numFmtId="3" fontId="5" fillId="8" borderId="3" xfId="0" applyNumberFormat="1" applyFont="1" applyFill="1" applyBorder="1">
      <alignment horizontal="center" vertical="center"/>
    </xf>
    <xf numFmtId="3" fontId="5" fillId="8" borderId="0" xfId="0" applyNumberFormat="1" applyFont="1" applyFill="1" applyBorder="1" applyAlignment="1">
      <alignment horizontal="right" vertical="center"/>
    </xf>
    <xf numFmtId="3" fontId="5" fillId="8" borderId="3" xfId="0" applyNumberFormat="1" applyFont="1" applyFill="1" applyBorder="1" applyAlignment="1">
      <alignment horizontal="center" vertical="center"/>
    </xf>
    <xf numFmtId="3" fontId="5" fillId="8" borderId="0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/>
    </xf>
    <xf numFmtId="3" fontId="5" fillId="8" borderId="1" xfId="0" applyNumberFormat="1" applyFont="1" applyFill="1" applyBorder="1" applyAlignment="1">
      <alignment horizontal="right" vertical="center" wrapText="1"/>
    </xf>
    <xf numFmtId="4" fontId="5" fillId="5" borderId="1" xfId="0" applyFont="1" applyFill="1" applyBorder="1" applyAlignment="1">
      <alignment horizontal="center" vertical="center"/>
    </xf>
    <xf numFmtId="4" fontId="5" fillId="5" borderId="25" xfId="0" applyFont="1" applyFill="1" applyBorder="1" applyAlignment="1">
      <alignment horizontal="right" vertical="center"/>
    </xf>
    <xf numFmtId="3" fontId="5" fillId="8" borderId="3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4" xfId="0" applyNumberFormat="1" applyFont="1" applyFill="1" applyBorder="1" applyAlignment="1">
      <alignment horizontal="center" vertical="center" wrapText="1"/>
    </xf>
    <xf numFmtId="3" fontId="5" fillId="8" borderId="25" xfId="0" applyNumberFormat="1" applyFont="1" applyFill="1" applyBorder="1" applyAlignment="1">
      <alignment horizontal="right" vertical="center" wrapText="1"/>
    </xf>
    <xf numFmtId="3" fontId="5" fillId="8" borderId="17" xfId="0" applyNumberFormat="1" applyFont="1" applyFill="1" applyBorder="1" applyAlignment="1">
      <alignment horizontal="right" vertical="center"/>
    </xf>
    <xf numFmtId="3" fontId="5" fillId="8" borderId="25" xfId="0" applyNumberFormat="1" applyFont="1" applyFill="1" applyBorder="1" applyAlignment="1">
      <alignment horizontal="right" vertical="center"/>
    </xf>
    <xf numFmtId="3" fontId="5" fillId="8" borderId="17" xfId="0" applyNumberFormat="1" applyFont="1" applyFill="1" applyBorder="1" applyAlignment="1">
      <alignment horizontal="right" vertical="center" wrapText="1"/>
    </xf>
    <xf numFmtId="165" fontId="5" fillId="5" borderId="8" xfId="0" applyNumberFormat="1" applyFont="1" applyFill="1" applyBorder="1" applyAlignment="1">
      <alignment horizontal="left" vertical="center"/>
    </xf>
    <xf numFmtId="4" fontId="3" fillId="0" borderId="0" xfId="0" applyFont="1" applyAlignment="1">
      <alignment horizontal="left" vertical="center"/>
    </xf>
    <xf numFmtId="4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" fontId="5" fillId="5" borderId="0" xfId="0" applyFont="1" applyFill="1" applyBorder="1" applyAlignment="1">
      <alignment horizontal="right" vertical="center" textRotation="90" wrapText="1"/>
    </xf>
    <xf numFmtId="4" fontId="0" fillId="0" borderId="0" xfId="0" applyFont="1" applyBorder="1" applyAlignment="1">
      <alignment vertical="center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right" vertical="center"/>
    </xf>
    <xf numFmtId="164" fontId="3" fillId="7" borderId="2" xfId="0" applyNumberFormat="1" applyFont="1" applyFill="1" applyBorder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>
      <alignment horizontal="center" vertical="center"/>
    </xf>
    <xf numFmtId="4" fontId="5" fillId="5" borderId="0" xfId="0" applyNumberFormat="1" applyFont="1" applyFill="1" applyBorder="1" applyAlignment="1">
      <alignment horizontal="right" vertical="center"/>
    </xf>
    <xf numFmtId="4" fontId="3" fillId="0" borderId="0" xfId="0" applyFont="1" applyAlignment="1">
      <alignment vertical="center" textRotation="90"/>
    </xf>
    <xf numFmtId="4" fontId="3" fillId="0" borderId="0" xfId="0" applyNumberFormat="1" applyFont="1" applyBorder="1" applyAlignment="1">
      <alignment vertical="center" textRotation="90"/>
    </xf>
    <xf numFmtId="4" fontId="0" fillId="0" borderId="0" xfId="0" applyFont="1">
      <alignment horizontal="center" vertical="center"/>
    </xf>
    <xf numFmtId="165" fontId="3" fillId="0" borderId="0" xfId="0" applyNumberFormat="1" applyFont="1">
      <alignment horizontal="center" vertical="center"/>
    </xf>
    <xf numFmtId="4" fontId="3" fillId="0" borderId="0" xfId="0" applyFont="1" applyAlignment="1">
      <alignment horizontal="right" vertical="center"/>
    </xf>
    <xf numFmtId="4" fontId="0" fillId="0" borderId="0" xfId="0" applyFont="1" applyAlignment="1">
      <alignment horizontal="right" vertical="center"/>
    </xf>
    <xf numFmtId="4" fontId="3" fillId="0" borderId="0" xfId="0" applyNumberFormat="1" applyFont="1">
      <alignment horizontal="center" vertical="center"/>
    </xf>
    <xf numFmtId="4" fontId="5" fillId="5" borderId="8" xfId="0" applyFont="1" applyFill="1" applyBorder="1" applyAlignment="1">
      <alignment horizontal="right" vertical="center" textRotation="90" wrapText="1"/>
    </xf>
    <xf numFmtId="4" fontId="0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4" fontId="20" fillId="0" borderId="0" xfId="0" applyFont="1" applyAlignment="1">
      <alignment horizontal="right" vertical="center"/>
    </xf>
    <xf numFmtId="4" fontId="0" fillId="0" borderId="26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left"/>
    </xf>
    <xf numFmtId="4" fontId="3" fillId="0" borderId="2" xfId="0" applyFont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4" fontId="5" fillId="8" borderId="0" xfId="0" applyFont="1" applyFill="1" applyBorder="1" applyAlignment="1">
      <alignment horizontal="right" vertical="center" wrapText="1"/>
    </xf>
    <xf numFmtId="4" fontId="5" fillId="8" borderId="1" xfId="0" applyFont="1" applyFill="1" applyBorder="1" applyAlignment="1">
      <alignment horizontal="right" vertical="center" wrapText="1"/>
    </xf>
    <xf numFmtId="4" fontId="5" fillId="8" borderId="0" xfId="0" applyFont="1" applyFill="1" applyBorder="1" applyAlignment="1">
      <alignment horizontal="right" vertical="center"/>
    </xf>
    <xf numFmtId="4" fontId="5" fillId="8" borderId="1" xfId="0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/>
    </xf>
    <xf numFmtId="4" fontId="5" fillId="5" borderId="30" xfId="0" applyFont="1" applyFill="1" applyBorder="1" applyAlignment="1">
      <alignment horizontal="right" vertical="center"/>
    </xf>
    <xf numFmtId="4" fontId="5" fillId="5" borderId="27" xfId="0" applyFont="1" applyFill="1" applyBorder="1" applyAlignment="1">
      <alignment horizontal="right" vertical="center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32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>
      <alignment horizontal="center" vertical="center"/>
    </xf>
    <xf numFmtId="3" fontId="5" fillId="8" borderId="30" xfId="0" applyNumberFormat="1" applyFont="1" applyFill="1" applyBorder="1" applyAlignment="1">
      <alignment horizontal="center" vertical="center"/>
    </xf>
    <xf numFmtId="3" fontId="5" fillId="8" borderId="32" xfId="0" applyNumberFormat="1" applyFont="1" applyFill="1" applyBorder="1" applyAlignment="1">
      <alignment horizontal="center" vertical="center"/>
    </xf>
    <xf numFmtId="3" fontId="5" fillId="5" borderId="30" xfId="0" applyNumberFormat="1" applyFont="1" applyFill="1" applyBorder="1">
      <alignment horizontal="center" vertical="center"/>
    </xf>
    <xf numFmtId="164" fontId="5" fillId="5" borderId="30" xfId="0" applyNumberFormat="1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center" vertical="center"/>
    </xf>
    <xf numFmtId="3" fontId="5" fillId="5" borderId="30" xfId="0" applyNumberFormat="1" applyFont="1" applyFill="1" applyBorder="1" applyAlignment="1">
      <alignment horizontal="center" vertical="center"/>
    </xf>
    <xf numFmtId="164" fontId="5" fillId="8" borderId="34" xfId="0" applyNumberFormat="1" applyFont="1" applyFill="1" applyBorder="1" applyAlignment="1">
      <alignment horizontal="center" vertical="center" wrapText="1"/>
    </xf>
    <xf numFmtId="164" fontId="5" fillId="8" borderId="35" xfId="0" applyNumberFormat="1" applyFont="1" applyFill="1" applyBorder="1" applyAlignment="1">
      <alignment horizontal="center" vertical="center" wrapText="1"/>
    </xf>
    <xf numFmtId="4" fontId="5" fillId="8" borderId="34" xfId="0" applyNumberFormat="1" applyFont="1" applyFill="1" applyBorder="1">
      <alignment horizontal="center" vertical="center"/>
    </xf>
    <xf numFmtId="4" fontId="5" fillId="8" borderId="34" xfId="0" applyNumberFormat="1" applyFont="1" applyFill="1" applyBorder="1" applyAlignment="1">
      <alignment horizontal="center" vertical="center"/>
    </xf>
    <xf numFmtId="4" fontId="5" fillId="8" borderId="33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13" xfId="0" quotePrefix="1" applyNumberFormat="1" applyFont="1" applyFill="1" applyBorder="1" applyAlignment="1">
      <alignment horizontal="center" vertical="center"/>
    </xf>
    <xf numFmtId="3" fontId="5" fillId="6" borderId="31" xfId="0" applyNumberFormat="1" applyFont="1" applyFill="1" applyBorder="1" applyAlignment="1">
      <alignment horizontal="center" vertical="center"/>
    </xf>
    <xf numFmtId="164" fontId="5" fillId="8" borderId="15" xfId="0" applyNumberFormat="1" applyFont="1" applyFill="1" applyBorder="1" applyAlignment="1">
      <alignment horizontal="center" vertical="center" wrapText="1"/>
    </xf>
    <xf numFmtId="164" fontId="5" fillId="8" borderId="38" xfId="0" applyNumberFormat="1" applyFont="1" applyFill="1" applyBorder="1" applyAlignment="1">
      <alignment horizontal="center" vertical="center" wrapText="1"/>
    </xf>
    <xf numFmtId="164" fontId="5" fillId="5" borderId="16" xfId="0" quotePrefix="1" applyNumberFormat="1" applyFont="1" applyFill="1" applyBorder="1" applyAlignment="1">
      <alignment horizontal="left" vertical="center"/>
    </xf>
    <xf numFmtId="164" fontId="5" fillId="5" borderId="39" xfId="0" applyNumberFormat="1" applyFont="1" applyFill="1" applyBorder="1" applyAlignment="1">
      <alignment horizontal="center" vertical="center"/>
    </xf>
    <xf numFmtId="4" fontId="5" fillId="5" borderId="30" xfId="0" applyNumberFormat="1" applyFont="1" applyFill="1" applyBorder="1" applyAlignment="1">
      <alignment horizontal="left" vertical="center"/>
    </xf>
    <xf numFmtId="164" fontId="3" fillId="7" borderId="28" xfId="0" applyNumberFormat="1" applyFont="1" applyFill="1" applyBorder="1">
      <alignment horizontal="center" vertical="center"/>
    </xf>
    <xf numFmtId="164" fontId="5" fillId="5" borderId="32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31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>
      <alignment horizontal="center" vertical="center"/>
    </xf>
    <xf numFmtId="164" fontId="3" fillId="7" borderId="27" xfId="0" applyNumberFormat="1" applyFont="1" applyFill="1" applyBorder="1">
      <alignment horizontal="center" vertical="center"/>
    </xf>
    <xf numFmtId="4" fontId="5" fillId="5" borderId="8" xfId="0" applyNumberFormat="1" applyFont="1" applyFill="1" applyBorder="1" applyAlignment="1">
      <alignment horizontal="right" vertical="center"/>
    </xf>
    <xf numFmtId="3" fontId="5" fillId="5" borderId="30" xfId="0" applyNumberFormat="1" applyFont="1" applyFill="1" applyBorder="1" applyAlignment="1">
      <alignment horizontal="left" vertical="center"/>
    </xf>
    <xf numFmtId="4" fontId="5" fillId="5" borderId="27" xfId="0" applyNumberFormat="1" applyFont="1" applyFill="1" applyBorder="1" applyAlignment="1">
      <alignment horizontal="left" vertical="center"/>
    </xf>
    <xf numFmtId="4" fontId="3" fillId="0" borderId="0" xfId="0" applyFont="1" applyBorder="1">
      <alignment horizontal="center" vertical="center"/>
    </xf>
    <xf numFmtId="164" fontId="5" fillId="6" borderId="0" xfId="0" quotePrefix="1" applyNumberFormat="1" applyFont="1" applyFill="1" applyBorder="1" applyAlignment="1">
      <alignment horizontal="left" vertical="center"/>
    </xf>
    <xf numFmtId="4" fontId="5" fillId="5" borderId="19" xfId="0" applyFont="1" applyFill="1" applyBorder="1" applyAlignment="1">
      <alignment horizontal="right" vertical="center" wrapText="1"/>
    </xf>
    <xf numFmtId="4" fontId="5" fillId="5" borderId="18" xfId="0" applyFont="1" applyFill="1" applyBorder="1" applyAlignment="1">
      <alignment horizontal="right" vertical="center" wrapText="1"/>
    </xf>
    <xf numFmtId="4" fontId="4" fillId="3" borderId="0" xfId="0" applyFont="1" applyFill="1" applyBorder="1" applyAlignment="1">
      <alignment horizontal="left"/>
    </xf>
    <xf numFmtId="3" fontId="6" fillId="4" borderId="22" xfId="0" applyNumberFormat="1" applyFont="1" applyFill="1" applyBorder="1" applyAlignment="1">
      <alignment horizontal="right" vertical="center"/>
    </xf>
    <xf numFmtId="3" fontId="6" fillId="4" borderId="17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5" fillId="5" borderId="16" xfId="0" applyFont="1" applyFill="1" applyBorder="1" applyAlignment="1">
      <alignment horizontal="right" vertical="center" textRotation="90" wrapText="1"/>
    </xf>
    <xf numFmtId="4" fontId="5" fillId="5" borderId="0" xfId="0" applyFont="1" applyFill="1" applyBorder="1" applyAlignment="1">
      <alignment horizontal="right" vertical="center" textRotation="90" wrapText="1"/>
    </xf>
    <xf numFmtId="4" fontId="5" fillId="5" borderId="8" xfId="0" applyFont="1" applyFill="1" applyBorder="1" applyAlignment="1">
      <alignment horizontal="right" vertical="center" textRotation="90" wrapText="1"/>
    </xf>
    <xf numFmtId="4" fontId="8" fillId="4" borderId="0" xfId="0" applyFont="1" applyFill="1" applyBorder="1" applyAlignment="1">
      <alignment horizontal="center" vertical="center"/>
    </xf>
    <xf numFmtId="4" fontId="5" fillId="4" borderId="10" xfId="0" applyFont="1" applyFill="1" applyBorder="1" applyAlignment="1">
      <alignment horizontal="right" vertical="center" wrapText="1"/>
    </xf>
    <xf numFmtId="4" fontId="5" fillId="4" borderId="4" xfId="0" applyFont="1" applyFill="1" applyBorder="1" applyAlignment="1">
      <alignment horizontal="right" vertical="center" wrapText="1"/>
    </xf>
    <xf numFmtId="4" fontId="5" fillId="4" borderId="5" xfId="0" applyFont="1" applyFill="1" applyBorder="1" applyAlignment="1">
      <alignment horizontal="right" vertical="center" wrapText="1"/>
    </xf>
    <xf numFmtId="4" fontId="5" fillId="4" borderId="6" xfId="0" applyFont="1" applyFill="1" applyBorder="1" applyAlignment="1">
      <alignment horizontal="right" vertical="center" textRotation="90" wrapText="1"/>
    </xf>
    <xf numFmtId="3" fontId="6" fillId="4" borderId="23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 wrapText="1"/>
    </xf>
    <xf numFmtId="4" fontId="5" fillId="5" borderId="13" xfId="0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" fontId="5" fillId="6" borderId="12" xfId="0" quotePrefix="1" applyFont="1" applyFill="1" applyBorder="1" applyAlignment="1">
      <alignment horizontal="center" vertical="center"/>
    </xf>
    <xf numFmtId="4" fontId="5" fillId="6" borderId="12" xfId="0" applyFont="1" applyFill="1" applyBorder="1" applyAlignment="1">
      <alignment horizontal="center" vertical="center"/>
    </xf>
    <xf numFmtId="4" fontId="5" fillId="6" borderId="14" xfId="0" quotePrefix="1" applyFont="1" applyFill="1" applyBorder="1" applyAlignment="1">
      <alignment horizontal="center" vertical="center"/>
    </xf>
    <xf numFmtId="4" fontId="5" fillId="6" borderId="14" xfId="0" applyFont="1" applyFill="1" applyBorder="1" applyAlignment="1">
      <alignment horizontal="center" vertical="center"/>
    </xf>
    <xf numFmtId="4" fontId="5" fillId="6" borderId="13" xfId="0" quotePrefix="1" applyFont="1" applyFill="1" applyBorder="1" applyAlignment="1">
      <alignment horizontal="center" vertical="center"/>
    </xf>
    <xf numFmtId="4" fontId="8" fillId="6" borderId="0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4" fontId="5" fillId="5" borderId="28" xfId="0" applyFont="1" applyFill="1" applyBorder="1" applyAlignment="1">
      <alignment horizontal="right" vertical="center" wrapText="1"/>
    </xf>
    <xf numFmtId="4" fontId="5" fillId="5" borderId="29" xfId="0" applyFont="1" applyFill="1" applyBorder="1" applyAlignment="1">
      <alignment horizontal="right" vertical="center" wrapText="1"/>
    </xf>
    <xf numFmtId="4" fontId="5" fillId="5" borderId="30" xfId="0" applyFont="1" applyFill="1" applyBorder="1" applyAlignment="1">
      <alignment horizontal="right" vertical="center" wrapText="1"/>
    </xf>
    <xf numFmtId="4" fontId="5" fillId="5" borderId="27" xfId="0" applyFont="1" applyFill="1" applyBorder="1" applyAlignment="1">
      <alignment horizontal="right" vertical="center" wrapText="1"/>
    </xf>
    <xf numFmtId="4" fontId="5" fillId="6" borderId="8" xfId="0" quotePrefix="1" applyFont="1" applyFill="1" applyBorder="1" applyAlignment="1">
      <alignment horizontal="center" vertical="center"/>
    </xf>
    <xf numFmtId="4" fontId="5" fillId="6" borderId="31" xfId="0" applyFont="1" applyFill="1" applyBorder="1" applyAlignment="1">
      <alignment horizontal="center" vertical="center"/>
    </xf>
    <xf numFmtId="3" fontId="5" fillId="5" borderId="30" xfId="0" applyNumberFormat="1" applyFont="1" applyFill="1" applyBorder="1" applyAlignment="1">
      <alignment horizontal="center" vertical="center" wrapText="1"/>
    </xf>
    <xf numFmtId="3" fontId="5" fillId="5" borderId="28" xfId="0" applyNumberFormat="1" applyFont="1" applyFill="1" applyBorder="1" applyAlignment="1">
      <alignment horizontal="center" vertical="center" wrapText="1"/>
    </xf>
    <xf numFmtId="4" fontId="5" fillId="5" borderId="36" xfId="0" applyFont="1" applyFill="1" applyBorder="1" applyAlignment="1">
      <alignment horizontal="right" vertical="center" textRotation="90" wrapText="1"/>
    </xf>
    <xf numFmtId="4" fontId="5" fillId="5" borderId="40" xfId="0" applyFont="1" applyFill="1" applyBorder="1" applyAlignment="1">
      <alignment horizontal="right" vertical="center" textRotation="90" wrapText="1"/>
    </xf>
    <xf numFmtId="4" fontId="5" fillId="5" borderId="41" xfId="0" applyFont="1" applyFill="1" applyBorder="1" applyAlignment="1">
      <alignment horizontal="right" vertical="center" textRotation="90" wrapText="1"/>
    </xf>
    <xf numFmtId="3" fontId="5" fillId="5" borderId="37" xfId="0" applyNumberFormat="1" applyFont="1" applyFill="1" applyBorder="1" applyAlignment="1">
      <alignment horizontal="center" vertical="center" wrapText="1"/>
    </xf>
    <xf numFmtId="3" fontId="5" fillId="5" borderId="29" xfId="0" applyNumberFormat="1" applyFont="1" applyFill="1" applyBorder="1" applyAlignment="1">
      <alignment horizontal="center" vertical="center" wrapText="1"/>
    </xf>
    <xf numFmtId="3" fontId="5" fillId="5" borderId="27" xfId="0" applyNumberFormat="1" applyFont="1" applyFill="1" applyBorder="1" applyAlignment="1">
      <alignment horizontal="center" vertical="center" wrapText="1"/>
    </xf>
    <xf numFmtId="4" fontId="8" fillId="6" borderId="0" xfId="0" applyFont="1" applyFill="1" applyBorder="1" applyAlignment="1">
      <alignment horizontal="left" vertical="center"/>
    </xf>
  </cellXfs>
  <cellStyles count="10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2.560385510856711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2.560385510856711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ANOVA'!$Q$3:$Q$6</c:f>
              <c:numCache>
                <c:formatCode>#,##0.0</c:formatCode>
                <c:ptCount val="4"/>
                <c:pt idx="0">
                  <c:v>90.0</c:v>
                </c:pt>
                <c:pt idx="1">
                  <c:v>79.6</c:v>
                </c:pt>
                <c:pt idx="2">
                  <c:v>71.4</c:v>
                </c:pt>
                <c:pt idx="3">
                  <c:v>65.6</c:v>
                </c:pt>
              </c:numCache>
            </c:numRef>
          </c:yVal>
          <c:smooth val="0"/>
        </c:ser>
        <c:ser>
          <c:idx val="2"/>
          <c:order val="2"/>
          <c:tx>
            <c:v>mu's: Delayed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  <c:smooth val="0"/>
        </c:ser>
        <c:ser>
          <c:idx val="3"/>
          <c:order val="3"/>
          <c:tx>
            <c:v>M's: Delayed</c:v>
          </c:tx>
          <c:spPr>
            <a:ln>
              <a:noFill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2.560385510856711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2.560385510856711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ANOVA'!$R$3:$R$6</c:f>
              <c:numCache>
                <c:formatCode>#,##0.0</c:formatCode>
                <c:ptCount val="4"/>
                <c:pt idx="0">
                  <c:v>65.0</c:v>
                </c:pt>
                <c:pt idx="1">
                  <c:v>63.2</c:v>
                </c:pt>
                <c:pt idx="2">
                  <c:v>58.4</c:v>
                </c:pt>
                <c:pt idx="3">
                  <c:v>61.6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641112"/>
        <c:axId val="-2103964600"/>
      </c:scatterChart>
      <c:valAx>
        <c:axId val="2042641112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103964600"/>
        <c:crosses val="autoZero"/>
        <c:crossBetween val="midCat"/>
        <c:majorUnit val="15.0"/>
        <c:minorUnit val="0.03"/>
      </c:valAx>
      <c:valAx>
        <c:axId val="-2103964600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2042641112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 (Handout)'!$O$3:$O$6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  <c:smooth val="0"/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'Two-way ANOVA (Handout)'!$C$39</c:f>
                <c:numCache>
                  <c:formatCode>General</c:formatCode>
                  <c:ptCount val="1"/>
                  <c:pt idx="0">
                    <c:v>2.550237292122781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2.560385510856711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 (Handout)'!$Q$3:$Q$6</c:f>
              <c:numCache>
                <c:formatCode>#,##0.0</c:formatCode>
                <c:ptCount val="4"/>
                <c:pt idx="0">
                  <c:v>89.8</c:v>
                </c:pt>
                <c:pt idx="1">
                  <c:v>82.6</c:v>
                </c:pt>
                <c:pt idx="2">
                  <c:v>72.4</c:v>
                </c:pt>
                <c:pt idx="3">
                  <c:v>62.0</c:v>
                </c:pt>
              </c:numCache>
            </c:numRef>
          </c:yVal>
          <c:smooth val="0"/>
        </c:ser>
        <c:ser>
          <c:idx val="2"/>
          <c:order val="2"/>
          <c:tx>
            <c:v>mu's: Delayed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 (Handout)'!$P$3:$P$6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  <c:smooth val="0"/>
        </c:ser>
        <c:ser>
          <c:idx val="3"/>
          <c:order val="3"/>
          <c:tx>
            <c:v>M's: Delayed</c:v>
          </c:tx>
          <c:spPr>
            <a:ln>
              <a:noFill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'Two-way ANOVA (Handout)'!$C$39</c:f>
                <c:numCache>
                  <c:formatCode>General</c:formatCode>
                  <c:ptCount val="1"/>
                  <c:pt idx="0">
                    <c:v>2.550237292122781</c:v>
                  </c:pt>
                </c:numCache>
              </c:numRef>
            </c:plus>
            <c:minus>
              <c:numRef>
                <c:f>'Two-way ANOVA (Handout)'!$C$39</c:f>
                <c:numCache>
                  <c:formatCode>General</c:formatCode>
                  <c:ptCount val="1"/>
                  <c:pt idx="0">
                    <c:v>2.550237292122781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 (Handout)'!$R$3:$R$6</c:f>
              <c:numCache>
                <c:formatCode>#,##0.0</c:formatCode>
                <c:ptCount val="4"/>
                <c:pt idx="0">
                  <c:v>67.4</c:v>
                </c:pt>
                <c:pt idx="1">
                  <c:v>66.8</c:v>
                </c:pt>
                <c:pt idx="2">
                  <c:v>62.2</c:v>
                </c:pt>
                <c:pt idx="3">
                  <c:v>61.8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013240"/>
        <c:axId val="2042978632"/>
      </c:scatterChart>
      <c:valAx>
        <c:axId val="2043013240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2042978632"/>
        <c:crosses val="autoZero"/>
        <c:crossBetween val="midCat"/>
        <c:majorUnit val="15.0"/>
        <c:minorUnit val="0.03"/>
      </c:valAx>
      <c:valAx>
        <c:axId val="2042978632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2043013240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15</xdr:col>
      <xdr:colOff>1189567</xdr:colOff>
      <xdr:row>16</xdr:row>
      <xdr:rowOff>80433</xdr:rowOff>
    </xdr:from>
    <xdr:ext cx="1650587" cy="369332"/>
    <xdr:sp macro="" textlink="">
      <xdr:nvSpPr>
        <xdr:cNvPr id="4" name="TextBox 3"/>
        <xdr:cNvSpPr txBox="1"/>
      </xdr:nvSpPr>
      <xdr:spPr>
        <a:xfrm>
          <a:off x="15955434" y="4686300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  <xdr:oneCellAnchor>
    <xdr:from>
      <xdr:col>15</xdr:col>
      <xdr:colOff>440266</xdr:colOff>
      <xdr:row>22</xdr:row>
      <xdr:rowOff>-1</xdr:rowOff>
    </xdr:from>
    <xdr:ext cx="1392817" cy="369332"/>
    <xdr:sp macro="" textlink="">
      <xdr:nvSpPr>
        <xdr:cNvPr id="5" name="TextBox 4"/>
        <xdr:cNvSpPr txBox="1"/>
      </xdr:nvSpPr>
      <xdr:spPr>
        <a:xfrm>
          <a:off x="15206133" y="6333066"/>
          <a:ext cx="139281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 Test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16</xdr:col>
      <xdr:colOff>38100</xdr:colOff>
      <xdr:row>13</xdr:row>
      <xdr:rowOff>266700</xdr:rowOff>
    </xdr:from>
    <xdr:ext cx="1650587" cy="369332"/>
    <xdr:sp macro="" textlink="">
      <xdr:nvSpPr>
        <xdr:cNvPr id="3" name="TextBox 2"/>
        <xdr:cNvSpPr txBox="1"/>
      </xdr:nvSpPr>
      <xdr:spPr>
        <a:xfrm>
          <a:off x="15925800" y="4064000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  <xdr:oneCellAnchor>
    <xdr:from>
      <xdr:col>15</xdr:col>
      <xdr:colOff>660400</xdr:colOff>
      <xdr:row>18</xdr:row>
      <xdr:rowOff>203200</xdr:rowOff>
    </xdr:from>
    <xdr:ext cx="1392817" cy="369332"/>
    <xdr:sp macro="" textlink="">
      <xdr:nvSpPr>
        <xdr:cNvPr id="4" name="TextBox 3"/>
        <xdr:cNvSpPr txBox="1"/>
      </xdr:nvSpPr>
      <xdr:spPr>
        <a:xfrm>
          <a:off x="15328900" y="5461000"/>
          <a:ext cx="139281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 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P41" sqref="P41"/>
    </sheetView>
  </sheetViews>
  <sheetFormatPr baseColWidth="10" defaultRowHeight="19" x14ac:dyDescent="0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237" t="s">
        <v>197</v>
      </c>
      <c r="B1" s="238"/>
      <c r="C1" s="224" t="s">
        <v>106</v>
      </c>
      <c r="D1" s="224"/>
      <c r="E1" s="224"/>
      <c r="F1" s="224"/>
      <c r="G1" s="224"/>
      <c r="H1" s="224"/>
      <c r="I1" s="224"/>
      <c r="J1" s="224"/>
      <c r="K1" s="69"/>
      <c r="L1" s="69"/>
      <c r="N1" s="118"/>
      <c r="O1" s="118"/>
      <c r="P1" s="11" t="s">
        <v>172</v>
      </c>
      <c r="Q1" s="119"/>
      <c r="R1" s="119"/>
    </row>
    <row r="2" spans="1:18" ht="23" customHeight="1">
      <c r="A2" s="239"/>
      <c r="B2" s="239"/>
      <c r="C2" s="113" t="s">
        <v>38</v>
      </c>
      <c r="D2" s="115">
        <v>1</v>
      </c>
      <c r="E2" s="114" t="s">
        <v>131</v>
      </c>
      <c r="F2" s="115">
        <v>15</v>
      </c>
      <c r="G2" s="114" t="s">
        <v>132</v>
      </c>
      <c r="H2" s="115">
        <v>30</v>
      </c>
      <c r="I2" s="114" t="s">
        <v>93</v>
      </c>
      <c r="J2" s="115">
        <v>45</v>
      </c>
      <c r="K2" s="16"/>
      <c r="L2" s="16"/>
      <c r="M2" s="4"/>
      <c r="N2" s="59" t="s">
        <v>192</v>
      </c>
      <c r="O2" s="60" t="s">
        <v>175</v>
      </c>
      <c r="P2" s="60" t="s">
        <v>176</v>
      </c>
      <c r="Q2" s="61" t="s">
        <v>133</v>
      </c>
      <c r="R2" s="61" t="s">
        <v>134</v>
      </c>
    </row>
    <row r="3" spans="1:18" ht="23" customHeight="1">
      <c r="A3" s="228" t="s">
        <v>154</v>
      </c>
      <c r="B3" s="225" t="s">
        <v>112</v>
      </c>
      <c r="C3" s="229" t="s">
        <v>155</v>
      </c>
      <c r="D3" s="230">
        <v>90</v>
      </c>
      <c r="E3" s="232" t="s">
        <v>156</v>
      </c>
      <c r="F3" s="230">
        <v>80</v>
      </c>
      <c r="G3" s="232" t="s">
        <v>157</v>
      </c>
      <c r="H3" s="230">
        <v>70</v>
      </c>
      <c r="I3" s="232" t="s">
        <v>128</v>
      </c>
      <c r="J3" s="246">
        <v>65</v>
      </c>
      <c r="K3" s="217" t="s">
        <v>129</v>
      </c>
      <c r="L3" s="219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90</v>
      </c>
      <c r="R3" s="116">
        <f ca="1">D26</f>
        <v>65</v>
      </c>
    </row>
    <row r="4" spans="1:18" ht="23" customHeight="1">
      <c r="A4" s="228"/>
      <c r="B4" s="226"/>
      <c r="C4" s="229"/>
      <c r="D4" s="231"/>
      <c r="E4" s="233"/>
      <c r="F4" s="231"/>
      <c r="G4" s="233"/>
      <c r="H4" s="231"/>
      <c r="I4" s="233"/>
      <c r="J4" s="230"/>
      <c r="K4" s="218"/>
      <c r="L4" s="220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79.599999999999994</v>
      </c>
      <c r="R4" s="116">
        <f ca="1">F26</f>
        <v>63.2</v>
      </c>
    </row>
    <row r="5" spans="1:18" ht="23" customHeight="1">
      <c r="A5" s="228"/>
      <c r="B5" s="227" t="s">
        <v>130</v>
      </c>
      <c r="C5" s="229" t="s">
        <v>139</v>
      </c>
      <c r="D5" s="231">
        <v>66</v>
      </c>
      <c r="E5" s="234" t="s">
        <v>140</v>
      </c>
      <c r="F5" s="231">
        <v>63</v>
      </c>
      <c r="G5" s="234" t="s">
        <v>141</v>
      </c>
      <c r="H5" s="231">
        <v>62</v>
      </c>
      <c r="I5" s="234" t="s">
        <v>142</v>
      </c>
      <c r="J5" s="247">
        <v>61</v>
      </c>
      <c r="K5" s="217" t="s">
        <v>94</v>
      </c>
      <c r="L5" s="219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71.400000000000006</v>
      </c>
      <c r="R5" s="116">
        <f ca="1">H26</f>
        <v>58.4</v>
      </c>
    </row>
    <row r="6" spans="1:18" ht="23" customHeight="1">
      <c r="A6" s="228"/>
      <c r="B6" s="227"/>
      <c r="C6" s="229"/>
      <c r="D6" s="231"/>
      <c r="E6" s="233"/>
      <c r="F6" s="231"/>
      <c r="G6" s="233"/>
      <c r="H6" s="231"/>
      <c r="I6" s="233"/>
      <c r="J6" s="230"/>
      <c r="K6" s="218"/>
      <c r="L6" s="220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65.599999999999994</v>
      </c>
      <c r="R6" s="116">
        <f ca="1">J26</f>
        <v>61.6</v>
      </c>
    </row>
    <row r="7" spans="1:18" ht="23" customHeight="1" thickBot="1">
      <c r="A7" s="64" t="s">
        <v>136</v>
      </c>
      <c r="B7" s="65">
        <v>3</v>
      </c>
      <c r="C7" s="106" t="s">
        <v>95</v>
      </c>
      <c r="D7" s="68">
        <f>AVERAGE(D3:D5)</f>
        <v>78</v>
      </c>
      <c r="E7" s="66" t="s">
        <v>96</v>
      </c>
      <c r="F7" s="68">
        <f>AVERAGE(F3:F5)</f>
        <v>71.5</v>
      </c>
      <c r="G7" s="66" t="s">
        <v>193</v>
      </c>
      <c r="H7" s="68">
        <f>AVERAGE(H3:H5)</f>
        <v>66</v>
      </c>
      <c r="I7" s="66" t="s">
        <v>44</v>
      </c>
      <c r="J7" s="68">
        <f>AVERAGE(J3:J5)</f>
        <v>63</v>
      </c>
      <c r="K7" s="66" t="s">
        <v>45</v>
      </c>
      <c r="L7" s="67">
        <f>AVERAGE(D7,F7,H7,J7)</f>
        <v>69.625</v>
      </c>
      <c r="M7" s="4"/>
      <c r="N7" s="1"/>
      <c r="O7" s="1"/>
    </row>
    <row r="8" spans="1:18" ht="23" customHeight="1">
      <c r="A8" s="33"/>
      <c r="B8" s="107"/>
      <c r="C8" s="108"/>
      <c r="D8" s="109"/>
      <c r="E8" s="25" t="s">
        <v>195</v>
      </c>
      <c r="F8" s="109">
        <v>0.05</v>
      </c>
      <c r="G8" s="109" t="s">
        <v>171</v>
      </c>
      <c r="H8" s="110">
        <v>0.95</v>
      </c>
      <c r="I8" s="108"/>
      <c r="J8" s="109"/>
      <c r="K8" s="108"/>
      <c r="L8" s="107"/>
      <c r="M8" s="4"/>
      <c r="N8" s="1"/>
      <c r="O8" s="1"/>
    </row>
    <row r="9" spans="1:18" ht="23" customHeight="1">
      <c r="A9" s="33"/>
      <c r="B9" s="111" t="s">
        <v>194</v>
      </c>
      <c r="C9" s="112">
        <v>4</v>
      </c>
      <c r="D9" s="111" t="s">
        <v>79</v>
      </c>
      <c r="E9" s="112">
        <v>2</v>
      </c>
      <c r="F9" s="111" t="s">
        <v>173</v>
      </c>
      <c r="G9" s="112">
        <v>5</v>
      </c>
      <c r="H9" s="34" t="s">
        <v>80</v>
      </c>
      <c r="I9" s="112">
        <f>G9*E9</f>
        <v>10</v>
      </c>
      <c r="J9" s="34" t="s">
        <v>81</v>
      </c>
      <c r="K9" s="112">
        <f>G9*C9</f>
        <v>20</v>
      </c>
      <c r="L9" s="107"/>
      <c r="M9" s="4"/>
    </row>
    <row r="10" spans="1:18" ht="23" customHeight="1">
      <c r="A10" s="33"/>
      <c r="B10" s="34"/>
      <c r="C10" s="245" t="s">
        <v>106</v>
      </c>
      <c r="D10" s="245"/>
      <c r="E10" s="245"/>
      <c r="F10" s="245"/>
      <c r="G10" s="245"/>
      <c r="H10" s="245"/>
      <c r="I10" s="245"/>
      <c r="J10" s="245"/>
      <c r="K10" s="35"/>
      <c r="L10" s="26"/>
      <c r="M10" s="2"/>
    </row>
    <row r="11" spans="1:18" ht="23" customHeight="1" thickBot="1">
      <c r="A11" s="57"/>
      <c r="B11" s="53"/>
      <c r="C11" s="240" t="s">
        <v>84</v>
      </c>
      <c r="D11" s="241"/>
      <c r="E11" s="242" t="s">
        <v>174</v>
      </c>
      <c r="F11" s="243"/>
      <c r="G11" s="242" t="s">
        <v>72</v>
      </c>
      <c r="H11" s="243"/>
      <c r="I11" s="244" t="s">
        <v>73</v>
      </c>
      <c r="J11" s="243"/>
      <c r="K11" s="54"/>
      <c r="L11" s="55"/>
      <c r="M11" s="3"/>
    </row>
    <row r="12" spans="1:18" ht="23" customHeight="1" thickTop="1" thickBot="1">
      <c r="A12" s="221" t="s">
        <v>68</v>
      </c>
      <c r="B12" s="214" t="s">
        <v>108</v>
      </c>
      <c r="C12" s="23" t="s">
        <v>105</v>
      </c>
      <c r="D12" s="46">
        <f ca="1">ROUND(NORMINV(RAND(),D$3,$B$7),0)</f>
        <v>94</v>
      </c>
      <c r="E12" s="23" t="s">
        <v>43</v>
      </c>
      <c r="F12" s="46">
        <f t="shared" ref="F12:F16" ca="1" si="0">ROUND(NORMINV(RAND(),F$3,$B$7),0)</f>
        <v>81</v>
      </c>
      <c r="G12" s="23" t="s">
        <v>189</v>
      </c>
      <c r="H12" s="56">
        <f t="shared" ref="H12:H16" ca="1" si="1">ROUND(NORMINV(RAND(),H$3,$B$7),0)</f>
        <v>70</v>
      </c>
      <c r="I12" s="23" t="s">
        <v>50</v>
      </c>
      <c r="J12" s="46">
        <f t="shared" ref="J12:J16" ca="1" si="2">ROUND(NORMINV(RAND(),J$3,$B$7),0)</f>
        <v>65</v>
      </c>
      <c r="K12" s="36"/>
      <c r="L12" s="28"/>
      <c r="M12" s="2"/>
      <c r="N12" s="20"/>
    </row>
    <row r="13" spans="1:18" ht="23" customHeight="1" thickBot="1">
      <c r="A13" s="222"/>
      <c r="B13" s="215"/>
      <c r="C13" s="23" t="s">
        <v>182</v>
      </c>
      <c r="D13" s="46">
        <f t="shared" ref="D13:D16" ca="1" si="3">ROUND(NORMINV(RAND(),D$3,$B$7),0)</f>
        <v>88</v>
      </c>
      <c r="E13" s="23" t="s">
        <v>186</v>
      </c>
      <c r="F13" s="46">
        <f t="shared" ca="1" si="0"/>
        <v>83</v>
      </c>
      <c r="G13" s="23" t="s">
        <v>46</v>
      </c>
      <c r="H13" s="46">
        <f t="shared" ca="1" si="1"/>
        <v>71</v>
      </c>
      <c r="I13" s="23" t="s">
        <v>51</v>
      </c>
      <c r="J13" s="46">
        <f t="shared" ca="1" si="2"/>
        <v>69</v>
      </c>
      <c r="K13" s="36"/>
      <c r="L13" s="28"/>
      <c r="M13" s="2"/>
      <c r="N13" s="20"/>
    </row>
    <row r="14" spans="1:18" ht="23" customHeight="1" thickBot="1">
      <c r="A14" s="222"/>
      <c r="B14" s="215"/>
      <c r="C14" s="23" t="s">
        <v>183</v>
      </c>
      <c r="D14" s="46">
        <f t="shared" ca="1" si="3"/>
        <v>91</v>
      </c>
      <c r="E14" s="23" t="s">
        <v>187</v>
      </c>
      <c r="F14" s="46">
        <f t="shared" ca="1" si="0"/>
        <v>74</v>
      </c>
      <c r="G14" s="23" t="s">
        <v>47</v>
      </c>
      <c r="H14" s="46">
        <f t="shared" ca="1" si="1"/>
        <v>72</v>
      </c>
      <c r="I14" s="23" t="s">
        <v>52</v>
      </c>
      <c r="J14" s="46">
        <f t="shared" ca="1" si="2"/>
        <v>64</v>
      </c>
      <c r="K14" s="37"/>
      <c r="L14" s="28"/>
      <c r="M14" s="2"/>
      <c r="N14" s="20"/>
    </row>
    <row r="15" spans="1:18" ht="23" customHeight="1" thickBot="1">
      <c r="A15" s="222"/>
      <c r="B15" s="215"/>
      <c r="C15" s="23" t="s">
        <v>184</v>
      </c>
      <c r="D15" s="46">
        <f t="shared" ca="1" si="3"/>
        <v>87</v>
      </c>
      <c r="E15" s="23" t="s">
        <v>82</v>
      </c>
      <c r="F15" s="46">
        <f t="shared" ca="1" si="0"/>
        <v>81</v>
      </c>
      <c r="G15" s="23" t="s">
        <v>48</v>
      </c>
      <c r="H15" s="46">
        <f t="shared" ca="1" si="1"/>
        <v>73</v>
      </c>
      <c r="I15" s="23" t="s">
        <v>53</v>
      </c>
      <c r="J15" s="46">
        <f t="shared" ca="1" si="2"/>
        <v>65</v>
      </c>
      <c r="K15" s="37"/>
      <c r="L15" s="28"/>
      <c r="M15" s="2"/>
      <c r="N15" s="20"/>
    </row>
    <row r="16" spans="1:18" ht="23" customHeight="1" thickBot="1">
      <c r="A16" s="222"/>
      <c r="B16" s="215"/>
      <c r="C16" s="31" t="s">
        <v>185</v>
      </c>
      <c r="D16" s="47">
        <f t="shared" ca="1" si="3"/>
        <v>90</v>
      </c>
      <c r="E16" s="31" t="s">
        <v>188</v>
      </c>
      <c r="F16" s="47">
        <f t="shared" ca="1" si="0"/>
        <v>79</v>
      </c>
      <c r="G16" s="31" t="s">
        <v>49</v>
      </c>
      <c r="H16" s="47">
        <f t="shared" ca="1" si="1"/>
        <v>71</v>
      </c>
      <c r="I16" s="31" t="s">
        <v>54</v>
      </c>
      <c r="J16" s="47">
        <f t="shared" ca="1" si="2"/>
        <v>65</v>
      </c>
      <c r="K16" s="37"/>
      <c r="L16" s="28"/>
      <c r="M16" s="2"/>
      <c r="N16" s="20"/>
    </row>
    <row r="17" spans="1:16" ht="23" customHeight="1" thickBot="1">
      <c r="A17" s="222"/>
      <c r="B17" s="215"/>
      <c r="C17" s="23" t="s">
        <v>102</v>
      </c>
      <c r="D17" s="48">
        <f ca="1">SUM(D12:D16)</f>
        <v>450</v>
      </c>
      <c r="E17" s="23" t="s">
        <v>103</v>
      </c>
      <c r="F17" s="48">
        <f ca="1">SUM(F12:F16)</f>
        <v>398</v>
      </c>
      <c r="G17" s="23" t="s">
        <v>104</v>
      </c>
      <c r="H17" s="48">
        <f ca="1">SUM(H12:H16)</f>
        <v>357</v>
      </c>
      <c r="I17" s="23" t="s">
        <v>88</v>
      </c>
      <c r="J17" s="48">
        <f ca="1">SUM(J12:J16)</f>
        <v>328</v>
      </c>
      <c r="K17" s="23" t="s">
        <v>89</v>
      </c>
      <c r="L17" s="24">
        <f ca="1">D17+F17+H17+J17</f>
        <v>1533</v>
      </c>
      <c r="M17" s="13"/>
      <c r="N17" s="20"/>
    </row>
    <row r="18" spans="1:16" ht="23" customHeight="1" thickBot="1">
      <c r="A18" s="222"/>
      <c r="B18" s="215"/>
      <c r="C18" s="23" t="s">
        <v>97</v>
      </c>
      <c r="D18" s="49">
        <f ca="1">D17/$G$9</f>
        <v>90</v>
      </c>
      <c r="E18" s="23" t="s">
        <v>165</v>
      </c>
      <c r="F18" s="49">
        <f ca="1">F17/$G$9</f>
        <v>79.599999999999994</v>
      </c>
      <c r="G18" s="23" t="s">
        <v>166</v>
      </c>
      <c r="H18" s="49">
        <f ca="1">H17/$G$9</f>
        <v>71.400000000000006</v>
      </c>
      <c r="I18" s="23" t="s">
        <v>167</v>
      </c>
      <c r="J18" s="49">
        <f ca="1">J17/$G$9</f>
        <v>65.599999999999994</v>
      </c>
      <c r="K18" s="23" t="s">
        <v>42</v>
      </c>
      <c r="L18" s="39">
        <f ca="1">L17/$K$9</f>
        <v>76.650000000000006</v>
      </c>
      <c r="M18" s="19"/>
      <c r="N18" s="20"/>
    </row>
    <row r="19" spans="1:16" ht="23" customHeight="1" thickBot="1">
      <c r="A19" s="222"/>
      <c r="B19" s="215"/>
      <c r="C19" s="40" t="s">
        <v>178</v>
      </c>
      <c r="D19" s="50">
        <f ca="1">VAR(D12:D16)</f>
        <v>7.5</v>
      </c>
      <c r="E19" s="27" t="s">
        <v>179</v>
      </c>
      <c r="F19" s="50">
        <f ca="1">VAR(F12:F16)</f>
        <v>11.799999999999999</v>
      </c>
      <c r="G19" s="27" t="s">
        <v>39</v>
      </c>
      <c r="H19" s="50">
        <f ca="1">VAR(H12:H16)</f>
        <v>1.3</v>
      </c>
      <c r="I19" s="27" t="s">
        <v>40</v>
      </c>
      <c r="J19" s="50">
        <f ca="1">VAR(J12:J16)</f>
        <v>3.7999999999999989</v>
      </c>
      <c r="K19" s="43"/>
      <c r="L19" s="43"/>
      <c r="M19" s="12"/>
      <c r="N19" s="20"/>
    </row>
    <row r="20" spans="1:16" ht="23" customHeight="1">
      <c r="A20" s="222"/>
      <c r="B20" s="235" t="s">
        <v>107</v>
      </c>
      <c r="C20" s="23" t="s">
        <v>110</v>
      </c>
      <c r="D20" s="46">
        <f ca="1">ROUND(NORMINV(RAND(),D$5,$B$7),0)</f>
        <v>68</v>
      </c>
      <c r="E20" s="23" t="s">
        <v>190</v>
      </c>
      <c r="F20" s="46">
        <f t="shared" ref="F20:F24" ca="1" si="4">ROUND(NORMINV(RAND(),F$5,$B$7),0)</f>
        <v>64</v>
      </c>
      <c r="G20" s="23" t="s">
        <v>62</v>
      </c>
      <c r="H20" s="46">
        <f t="shared" ref="H20:H24" ca="1" si="5">ROUND(NORMINV(RAND(),H$5,$B$7),0)</f>
        <v>56</v>
      </c>
      <c r="I20" s="23" t="s">
        <v>119</v>
      </c>
      <c r="J20" s="46">
        <f t="shared" ref="J20:J24" ca="1" si="6">ROUND(NORMINV(RAND(),J$5,$B$7),0)</f>
        <v>65</v>
      </c>
      <c r="K20" s="37"/>
      <c r="L20" s="28"/>
      <c r="M20" s="4"/>
      <c r="N20" s="20"/>
    </row>
    <row r="21" spans="1:16" ht="23" customHeight="1">
      <c r="A21" s="222"/>
      <c r="B21" s="235"/>
      <c r="C21" s="23" t="s">
        <v>55</v>
      </c>
      <c r="D21" s="46">
        <f t="shared" ref="D21:D24" ca="1" si="7">ROUND(NORMINV(RAND(),D$5,$B$7),0)</f>
        <v>63</v>
      </c>
      <c r="E21" s="23" t="s">
        <v>191</v>
      </c>
      <c r="F21" s="46">
        <f t="shared" ca="1" si="4"/>
        <v>61</v>
      </c>
      <c r="G21" s="23" t="s">
        <v>63</v>
      </c>
      <c r="H21" s="46">
        <f t="shared" ca="1" si="5"/>
        <v>64</v>
      </c>
      <c r="I21" s="23" t="s">
        <v>120</v>
      </c>
      <c r="J21" s="46">
        <f t="shared" ca="1" si="6"/>
        <v>62</v>
      </c>
      <c r="K21" s="38"/>
      <c r="L21" s="28"/>
      <c r="M21" s="9"/>
      <c r="N21" s="20"/>
    </row>
    <row r="22" spans="1:16" ht="23" customHeight="1">
      <c r="A22" s="222"/>
      <c r="B22" s="235"/>
      <c r="C22" s="23" t="s">
        <v>56</v>
      </c>
      <c r="D22" s="46">
        <f t="shared" ca="1" si="7"/>
        <v>64</v>
      </c>
      <c r="E22" s="23" t="s">
        <v>59</v>
      </c>
      <c r="F22" s="46">
        <f t="shared" ca="1" si="4"/>
        <v>63</v>
      </c>
      <c r="G22" s="23" t="s">
        <v>64</v>
      </c>
      <c r="H22" s="46">
        <f t="shared" ca="1" si="5"/>
        <v>57</v>
      </c>
      <c r="I22" s="23" t="s">
        <v>121</v>
      </c>
      <c r="J22" s="46">
        <f t="shared" ca="1" si="6"/>
        <v>60</v>
      </c>
      <c r="K22" s="28"/>
      <c r="L22" s="28"/>
      <c r="M22" s="4"/>
      <c r="N22" s="20"/>
    </row>
    <row r="23" spans="1:16" ht="23" customHeight="1">
      <c r="A23" s="222"/>
      <c r="B23" s="235"/>
      <c r="C23" s="23" t="s">
        <v>57</v>
      </c>
      <c r="D23" s="46">
        <f t="shared" ca="1" si="7"/>
        <v>70</v>
      </c>
      <c r="E23" s="23" t="s">
        <v>60</v>
      </c>
      <c r="F23" s="46">
        <f t="shared" ca="1" si="4"/>
        <v>63</v>
      </c>
      <c r="G23" s="23" t="s">
        <v>65</v>
      </c>
      <c r="H23" s="46">
        <f t="shared" ca="1" si="5"/>
        <v>61</v>
      </c>
      <c r="I23" s="23" t="s">
        <v>122</v>
      </c>
      <c r="J23" s="46">
        <f t="shared" ca="1" si="6"/>
        <v>60</v>
      </c>
      <c r="K23" s="28"/>
      <c r="L23" s="28"/>
      <c r="M23" s="8"/>
      <c r="N23" s="20"/>
    </row>
    <row r="24" spans="1:16" ht="23" customHeight="1">
      <c r="A24" s="222"/>
      <c r="B24" s="235"/>
      <c r="C24" s="31" t="s">
        <v>58</v>
      </c>
      <c r="D24" s="47">
        <f t="shared" ca="1" si="7"/>
        <v>60</v>
      </c>
      <c r="E24" s="31" t="s">
        <v>61</v>
      </c>
      <c r="F24" s="47">
        <f t="shared" ca="1" si="4"/>
        <v>65</v>
      </c>
      <c r="G24" s="31" t="s">
        <v>66</v>
      </c>
      <c r="H24" s="47">
        <f t="shared" ca="1" si="5"/>
        <v>54</v>
      </c>
      <c r="I24" s="31" t="s">
        <v>123</v>
      </c>
      <c r="J24" s="47">
        <f t="shared" ca="1" si="6"/>
        <v>61</v>
      </c>
      <c r="K24" s="28"/>
      <c r="L24" s="28"/>
      <c r="M24" s="4"/>
      <c r="N24" s="20"/>
    </row>
    <row r="25" spans="1:16" ht="23" customHeight="1">
      <c r="A25" s="222"/>
      <c r="B25" s="235"/>
      <c r="C25" s="23" t="s">
        <v>137</v>
      </c>
      <c r="D25" s="48">
        <f ca="1">SUM(D20:D24)</f>
        <v>325</v>
      </c>
      <c r="E25" s="23" t="s">
        <v>111</v>
      </c>
      <c r="F25" s="48">
        <f ca="1">SUM(F20:F24)</f>
        <v>316</v>
      </c>
      <c r="G25" s="23" t="s">
        <v>74</v>
      </c>
      <c r="H25" s="48">
        <f ca="1">SUM(H20:H24)</f>
        <v>292</v>
      </c>
      <c r="I25" s="23" t="s">
        <v>75</v>
      </c>
      <c r="J25" s="48">
        <f ca="1">SUM(J20:J24)</f>
        <v>308</v>
      </c>
      <c r="K25" s="23" t="s">
        <v>76</v>
      </c>
      <c r="L25" s="24">
        <f ca="1">D25+F25+H25+J25</f>
        <v>1241</v>
      </c>
      <c r="M25" s="19"/>
      <c r="N25" s="20"/>
    </row>
    <row r="26" spans="1:16" ht="23" customHeight="1">
      <c r="A26" s="222"/>
      <c r="B26" s="235"/>
      <c r="C26" s="23" t="s">
        <v>138</v>
      </c>
      <c r="D26" s="49">
        <f ca="1">D25/$G$9</f>
        <v>65</v>
      </c>
      <c r="E26" s="23" t="s">
        <v>159</v>
      </c>
      <c r="F26" s="49">
        <f ca="1">F25/$G$9</f>
        <v>63.2</v>
      </c>
      <c r="G26" s="23" t="s">
        <v>160</v>
      </c>
      <c r="H26" s="49">
        <f ca="1">H25/$G$9</f>
        <v>58.4</v>
      </c>
      <c r="I26" s="23" t="s">
        <v>161</v>
      </c>
      <c r="J26" s="49">
        <f ca="1">J25/$G$9</f>
        <v>61.6</v>
      </c>
      <c r="K26" s="23" t="s">
        <v>162</v>
      </c>
      <c r="L26" s="39">
        <f ca="1">L25/$K$9</f>
        <v>62.05</v>
      </c>
      <c r="M26" s="19"/>
      <c r="N26" s="20"/>
    </row>
    <row r="27" spans="1:16" ht="23" customHeight="1" thickBot="1">
      <c r="A27" s="223"/>
      <c r="B27" s="236"/>
      <c r="C27" s="51" t="s">
        <v>180</v>
      </c>
      <c r="D27" s="52">
        <f ca="1">VAR(D20:D24)</f>
        <v>16</v>
      </c>
      <c r="E27" s="44" t="s">
        <v>181</v>
      </c>
      <c r="F27" s="52">
        <f ca="1">VAR(F20:F24)</f>
        <v>2.1999999999999997</v>
      </c>
      <c r="G27" s="44" t="s">
        <v>124</v>
      </c>
      <c r="H27" s="52">
        <f ca="1">VAR(H20:H24)</f>
        <v>16.3</v>
      </c>
      <c r="I27" s="44" t="s">
        <v>158</v>
      </c>
      <c r="J27" s="52">
        <f ca="1">VAR(J20:J24)</f>
        <v>4.3</v>
      </c>
      <c r="K27" s="42"/>
      <c r="L27" s="42"/>
      <c r="M27" s="12"/>
      <c r="N27" s="20"/>
    </row>
    <row r="28" spans="1:16" ht="23" customHeight="1">
      <c r="A28" s="41"/>
      <c r="B28" s="45"/>
      <c r="C28" s="23" t="s">
        <v>163</v>
      </c>
      <c r="D28" s="46">
        <f ca="1">D17+D25</f>
        <v>775</v>
      </c>
      <c r="E28" s="23" t="s">
        <v>77</v>
      </c>
      <c r="F28" s="46">
        <f ca="1">F17+F25</f>
        <v>714</v>
      </c>
      <c r="G28" s="23" t="s">
        <v>78</v>
      </c>
      <c r="H28" s="46">
        <f ca="1">H17+H25</f>
        <v>649</v>
      </c>
      <c r="I28" s="23" t="s">
        <v>168</v>
      </c>
      <c r="J28" s="46">
        <f ca="1">J17+J25</f>
        <v>636</v>
      </c>
      <c r="K28" s="23" t="s">
        <v>91</v>
      </c>
      <c r="L28" s="24">
        <f ca="1">SUM(D12:J16,D20:J24)</f>
        <v>2774</v>
      </c>
      <c r="M28" s="13"/>
    </row>
    <row r="29" spans="1:16" ht="23" customHeight="1">
      <c r="A29" s="41"/>
      <c r="B29" s="45"/>
      <c r="C29" s="23" t="s">
        <v>92</v>
      </c>
      <c r="D29" s="49">
        <f ca="1">D28/$I$9</f>
        <v>77.5</v>
      </c>
      <c r="E29" s="23" t="s">
        <v>164</v>
      </c>
      <c r="F29" s="49">
        <f ca="1">F28/$I$9</f>
        <v>71.400000000000006</v>
      </c>
      <c r="G29" s="23" t="s">
        <v>98</v>
      </c>
      <c r="H29" s="49">
        <f ca="1">H28/$I$9</f>
        <v>64.900000000000006</v>
      </c>
      <c r="I29" s="23" t="s">
        <v>99</v>
      </c>
      <c r="J29" s="49">
        <f ca="1">J28/$I$9</f>
        <v>63.6</v>
      </c>
      <c r="K29" s="23" t="s">
        <v>100</v>
      </c>
      <c r="L29" s="24">
        <f>G9*E9*C9</f>
        <v>40</v>
      </c>
      <c r="M29" s="4"/>
    </row>
    <row r="30" spans="1:16" ht="23" customHeight="1" thickBot="1">
      <c r="A30" s="58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114</v>
      </c>
      <c r="L30" s="63">
        <f ca="1">L28/L29</f>
        <v>69.349999999999994</v>
      </c>
      <c r="M30" s="4"/>
    </row>
    <row r="31" spans="1:16" ht="23" customHeight="1">
      <c r="A31" s="72"/>
      <c r="B31" s="73" t="s">
        <v>101</v>
      </c>
      <c r="C31" s="74">
        <f ca="1">SUMSQ(D12:J16,D20:J24)-SUMSQ(D17:J17,D25:J25)/G9</f>
        <v>252.79999999998836</v>
      </c>
      <c r="D31" s="75"/>
      <c r="E31" s="76" t="s">
        <v>127</v>
      </c>
      <c r="F31" s="72"/>
      <c r="G31" s="76"/>
      <c r="H31" s="77"/>
      <c r="I31" s="76"/>
      <c r="J31" s="77"/>
      <c r="K31" s="73"/>
      <c r="L31" s="78"/>
      <c r="M31" s="4"/>
      <c r="P31" s="6"/>
    </row>
    <row r="32" spans="1:16" ht="23" customHeight="1">
      <c r="A32" s="72"/>
      <c r="B32" s="79" t="s">
        <v>177</v>
      </c>
      <c r="C32" s="80">
        <f>C9*E9*(G9-1)</f>
        <v>32</v>
      </c>
      <c r="D32" s="81"/>
      <c r="E32" s="84" t="s">
        <v>115</v>
      </c>
      <c r="F32" s="82" t="s">
        <v>116</v>
      </c>
      <c r="G32" s="84" t="s">
        <v>85</v>
      </c>
      <c r="H32" s="82" t="s">
        <v>86</v>
      </c>
      <c r="I32" s="84" t="s">
        <v>87</v>
      </c>
      <c r="J32" s="82" t="s">
        <v>69</v>
      </c>
      <c r="K32" s="94" t="s">
        <v>135</v>
      </c>
      <c r="L32" s="77"/>
      <c r="M32" s="4"/>
      <c r="N32" s="17"/>
    </row>
    <row r="33" spans="1:14" ht="23" customHeight="1">
      <c r="A33" s="72"/>
      <c r="B33" s="73" t="s">
        <v>90</v>
      </c>
      <c r="C33" s="76">
        <f ca="1">(C31/C32)</f>
        <v>7.8999999999996362</v>
      </c>
      <c r="D33" s="76"/>
      <c r="E33" s="77" t="s">
        <v>196</v>
      </c>
      <c r="F33" s="97">
        <f>C9*E9-1</f>
        <v>7</v>
      </c>
      <c r="G33" s="100">
        <f ca="1">SUMSQ(C17:J17,C25:J25)/G9-L28^2/L29</f>
        <v>3932.3000000000175</v>
      </c>
      <c r="H33" s="77"/>
      <c r="I33" s="77"/>
      <c r="J33" s="77"/>
      <c r="K33" s="77"/>
      <c r="L33" s="77"/>
      <c r="M33" s="5"/>
      <c r="N33" s="18"/>
    </row>
    <row r="34" spans="1:14" ht="23" customHeight="1">
      <c r="A34" s="82"/>
      <c r="B34" s="83" t="s">
        <v>113</v>
      </c>
      <c r="C34" s="84">
        <f ca="1">SQRT(C33)</f>
        <v>2.8106938645109745</v>
      </c>
      <c r="D34" s="77"/>
      <c r="E34" s="73" t="s">
        <v>70</v>
      </c>
      <c r="F34" s="98">
        <f>C9-1</f>
        <v>3</v>
      </c>
      <c r="G34" s="101">
        <f ca="1">SUMSQ(C28:J28)/I9-L28^2/L29</f>
        <v>1234.8999999999942</v>
      </c>
      <c r="H34" s="105">
        <f ca="1">G34/F34</f>
        <v>411.63333333333139</v>
      </c>
      <c r="I34" s="117">
        <f ca="1">H34/$H$37</f>
        <v>52.105485232069661</v>
      </c>
      <c r="J34" s="117">
        <f>FINV($F$8,F34,$F$37)</f>
        <v>2.9011195838408388</v>
      </c>
      <c r="K34" s="216" t="str">
        <f ca="1">IF(I34&gt;J34,"Reject", "Don't reject")</f>
        <v>Reject</v>
      </c>
      <c r="L34" s="216"/>
      <c r="M34" s="8"/>
      <c r="N34" s="18"/>
    </row>
    <row r="35" spans="1:14" ht="23" customHeight="1">
      <c r="A35" s="85"/>
      <c r="B35" s="86" t="s">
        <v>41</v>
      </c>
      <c r="C35" s="87"/>
      <c r="D35" s="88"/>
      <c r="E35" s="88" t="s">
        <v>71</v>
      </c>
      <c r="F35" s="98">
        <f>E9-1</f>
        <v>1</v>
      </c>
      <c r="G35" s="88">
        <f ca="1">SUMSQ(L17,L25)/K9-L28^2/L29</f>
        <v>2131.6000000000058</v>
      </c>
      <c r="H35" s="105">
        <f t="shared" ref="H35:H37" ca="1" si="8">G35/F35</f>
        <v>2131.6000000000058</v>
      </c>
      <c r="I35" s="117">
        <f t="shared" ref="I35:I36" ca="1" si="9">H35/$H$37</f>
        <v>269.82278481013975</v>
      </c>
      <c r="J35" s="117">
        <f>FINV($F$8,F35,$F$37)</f>
        <v>4.1490974456995477</v>
      </c>
      <c r="K35" s="216" t="str">
        <f t="shared" ref="K35:K36" ca="1" si="10">IF(I35&gt;J35,"Reject", "Don't reject")</f>
        <v>Reject</v>
      </c>
      <c r="L35" s="216"/>
      <c r="M35" s="18"/>
      <c r="N35" s="21"/>
    </row>
    <row r="36" spans="1:14" ht="23" customHeight="1">
      <c r="A36" s="72"/>
      <c r="B36" s="73" t="s">
        <v>109</v>
      </c>
      <c r="C36" s="89">
        <f>C32</f>
        <v>32</v>
      </c>
      <c r="D36" s="77"/>
      <c r="E36" s="96" t="s">
        <v>169</v>
      </c>
      <c r="F36" s="98">
        <f>F34*F35</f>
        <v>3</v>
      </c>
      <c r="G36" s="101">
        <f ca="1">G33-(G34+G35)</f>
        <v>565.80000000001746</v>
      </c>
      <c r="H36" s="105">
        <f t="shared" ca="1" si="8"/>
        <v>188.60000000000582</v>
      </c>
      <c r="I36" s="117">
        <f t="shared" ca="1" si="9"/>
        <v>23.873417721520823</v>
      </c>
      <c r="J36" s="117">
        <f>FINV($F$8,F36,$F$37)</f>
        <v>2.9011195838408388</v>
      </c>
      <c r="K36" s="216" t="str">
        <f t="shared" ca="1" si="10"/>
        <v>Reject</v>
      </c>
      <c r="L36" s="216"/>
      <c r="M36" s="18"/>
      <c r="N36" s="32"/>
    </row>
    <row r="37" spans="1:14" ht="23" customHeight="1">
      <c r="A37" s="72"/>
      <c r="B37" s="73" t="s">
        <v>125</v>
      </c>
      <c r="C37" s="90">
        <f>TINV(1-H8,C32)</f>
        <v>2.0369333434601011</v>
      </c>
      <c r="D37" s="77"/>
      <c r="E37" s="95" t="s">
        <v>170</v>
      </c>
      <c r="F37" s="97">
        <f>C9*E9*(G9-1)</f>
        <v>32</v>
      </c>
      <c r="G37" s="103">
        <f ca="1">SUMSQ(C12:J16,C20:J24)-SUMSQ(C17:J17,C25:J25)/G9</f>
        <v>252.79999999998836</v>
      </c>
      <c r="H37" s="102">
        <f t="shared" ca="1" si="8"/>
        <v>7.8999999999996362</v>
      </c>
      <c r="I37" s="95"/>
      <c r="J37" s="77"/>
      <c r="K37" s="77"/>
      <c r="L37" s="77"/>
      <c r="M37" s="18"/>
      <c r="N37" s="22"/>
    </row>
    <row r="38" spans="1:14" ht="23" customHeight="1">
      <c r="A38" s="72"/>
      <c r="B38" s="73" t="s">
        <v>126</v>
      </c>
      <c r="C38" s="91">
        <f ca="1">C34/SQRT(G9)</f>
        <v>1.2569805089976245</v>
      </c>
      <c r="D38" s="77"/>
      <c r="E38" s="71" t="s">
        <v>67</v>
      </c>
      <c r="F38" s="99">
        <f>F33+F37</f>
        <v>39</v>
      </c>
      <c r="G38" s="104">
        <f ca="1">G33+G37</f>
        <v>4185.1000000000058</v>
      </c>
      <c r="H38" s="94"/>
      <c r="I38" s="76"/>
      <c r="J38" s="94"/>
      <c r="K38" s="77"/>
      <c r="L38" s="77"/>
      <c r="M38" s="18"/>
      <c r="N38" s="7"/>
    </row>
    <row r="39" spans="1:14" ht="23" customHeight="1">
      <c r="A39" s="72"/>
      <c r="B39" s="92" t="s">
        <v>83</v>
      </c>
      <c r="C39" s="93">
        <f ca="1">C37*C38</f>
        <v>2.5603855108567108</v>
      </c>
      <c r="D39" s="77"/>
      <c r="E39" s="76"/>
      <c r="F39" s="77"/>
      <c r="G39" s="76"/>
      <c r="H39" s="77"/>
      <c r="I39" s="76"/>
      <c r="J39" s="77"/>
      <c r="K39" s="77"/>
      <c r="L39" s="77"/>
      <c r="M39" s="4"/>
      <c r="N39" s="7"/>
    </row>
    <row r="40" spans="1:14" ht="19" customHeight="1">
      <c r="B40" s="5"/>
      <c r="C40" s="5"/>
      <c r="D40" s="5"/>
      <c r="E40" s="5"/>
      <c r="F40" s="14"/>
      <c r="G40" s="70"/>
      <c r="H40" s="5"/>
      <c r="I40" s="5"/>
      <c r="J40" s="5"/>
      <c r="K40" s="5"/>
      <c r="L40" s="5"/>
      <c r="M40" s="4"/>
      <c r="N40" s="10"/>
    </row>
    <row r="41" spans="1:14">
      <c r="D41" s="5"/>
      <c r="E41" s="5"/>
      <c r="F41" s="5"/>
      <c r="G41" s="5"/>
      <c r="H41" s="5"/>
      <c r="I41" s="5"/>
      <c r="J41" s="5"/>
      <c r="K41" s="5"/>
      <c r="L41" s="5"/>
      <c r="M41" s="4"/>
      <c r="N41" s="22"/>
    </row>
    <row r="42" spans="1:1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  <c r="N42" s="19"/>
    </row>
    <row r="43" spans="1:14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22"/>
    </row>
    <row r="44" spans="1:1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10"/>
    </row>
    <row r="45" spans="1:1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10"/>
    </row>
    <row r="46" spans="1:1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10"/>
    </row>
    <row r="47" spans="1:1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/>
      <c r="N47" s="10"/>
    </row>
    <row r="48" spans="1:1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7"/>
    </row>
    <row r="49" spans="2:1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7"/>
    </row>
    <row r="50" spans="2:1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7"/>
    </row>
    <row r="51" spans="2:1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7"/>
    </row>
  </sheetData>
  <mergeCells count="36">
    <mergeCell ref="A1:B2"/>
    <mergeCell ref="C11:D11"/>
    <mergeCell ref="E11:F11"/>
    <mergeCell ref="G11:H11"/>
    <mergeCell ref="I11:J11"/>
    <mergeCell ref="C10:J10"/>
    <mergeCell ref="J3:J4"/>
    <mergeCell ref="J5:J6"/>
    <mergeCell ref="H5:H6"/>
    <mergeCell ref="I3:I4"/>
    <mergeCell ref="I5:I6"/>
    <mergeCell ref="G5:G6"/>
    <mergeCell ref="A12:A27"/>
    <mergeCell ref="C1:J1"/>
    <mergeCell ref="B3:B4"/>
    <mergeCell ref="B5:B6"/>
    <mergeCell ref="A3:A6"/>
    <mergeCell ref="C3:C4"/>
    <mergeCell ref="D3:D4"/>
    <mergeCell ref="C5:C6"/>
    <mergeCell ref="D5:D6"/>
    <mergeCell ref="E3:E4"/>
    <mergeCell ref="E5:E6"/>
    <mergeCell ref="F3:F4"/>
    <mergeCell ref="F5:F6"/>
    <mergeCell ref="G3:G4"/>
    <mergeCell ref="B20:B27"/>
    <mergeCell ref="H3:H4"/>
    <mergeCell ref="B12:B19"/>
    <mergeCell ref="K34:L34"/>
    <mergeCell ref="K35:L35"/>
    <mergeCell ref="K36:L36"/>
    <mergeCell ref="K3:K4"/>
    <mergeCell ref="L3:L4"/>
    <mergeCell ref="K5:K6"/>
    <mergeCell ref="L5:L6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C3" sqref="C3:L4"/>
    </sheetView>
  </sheetViews>
  <sheetFormatPr baseColWidth="10" defaultRowHeight="19" x14ac:dyDescent="0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237" t="s">
        <v>197</v>
      </c>
      <c r="B1" s="238"/>
      <c r="C1" s="224" t="s">
        <v>106</v>
      </c>
      <c r="D1" s="224"/>
      <c r="E1" s="224"/>
      <c r="F1" s="224"/>
      <c r="G1" s="224"/>
      <c r="H1" s="224"/>
      <c r="I1" s="224"/>
      <c r="J1" s="224"/>
      <c r="K1" s="69"/>
      <c r="L1" s="69"/>
      <c r="N1" s="118"/>
      <c r="O1" s="118"/>
      <c r="P1" s="11" t="s">
        <v>172</v>
      </c>
      <c r="Q1" s="119"/>
      <c r="R1" s="119"/>
    </row>
    <row r="2" spans="1:18" ht="23" customHeight="1">
      <c r="A2" s="239"/>
      <c r="B2" s="239"/>
      <c r="C2" s="113" t="s">
        <v>38</v>
      </c>
      <c r="D2" s="115">
        <v>1</v>
      </c>
      <c r="E2" s="114" t="s">
        <v>131</v>
      </c>
      <c r="F2" s="115">
        <v>15</v>
      </c>
      <c r="G2" s="114" t="s">
        <v>132</v>
      </c>
      <c r="H2" s="115">
        <v>30</v>
      </c>
      <c r="I2" s="114" t="s">
        <v>93</v>
      </c>
      <c r="J2" s="115">
        <v>45</v>
      </c>
      <c r="K2" s="16"/>
      <c r="L2" s="16"/>
      <c r="M2" s="18"/>
      <c r="N2" s="59" t="s">
        <v>192</v>
      </c>
      <c r="O2" s="60" t="s">
        <v>175</v>
      </c>
      <c r="P2" s="60" t="s">
        <v>176</v>
      </c>
      <c r="Q2" s="61" t="s">
        <v>133</v>
      </c>
      <c r="R2" s="61" t="s">
        <v>134</v>
      </c>
    </row>
    <row r="3" spans="1:18" ht="23" customHeight="1">
      <c r="A3" s="228" t="s">
        <v>154</v>
      </c>
      <c r="B3" s="225" t="s">
        <v>112</v>
      </c>
      <c r="C3" s="229" t="s">
        <v>155</v>
      </c>
      <c r="D3" s="230">
        <v>90</v>
      </c>
      <c r="E3" s="232" t="s">
        <v>156</v>
      </c>
      <c r="F3" s="230">
        <v>80</v>
      </c>
      <c r="G3" s="232" t="s">
        <v>157</v>
      </c>
      <c r="H3" s="230">
        <v>70</v>
      </c>
      <c r="I3" s="232" t="s">
        <v>128</v>
      </c>
      <c r="J3" s="246">
        <v>65</v>
      </c>
      <c r="K3" s="217" t="s">
        <v>129</v>
      </c>
      <c r="L3" s="219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>D18</f>
        <v>89.8</v>
      </c>
      <c r="R3" s="116">
        <f>D26</f>
        <v>67.400000000000006</v>
      </c>
    </row>
    <row r="4" spans="1:18" ht="23" customHeight="1">
      <c r="A4" s="228"/>
      <c r="B4" s="226"/>
      <c r="C4" s="229"/>
      <c r="D4" s="231"/>
      <c r="E4" s="233"/>
      <c r="F4" s="231"/>
      <c r="G4" s="233"/>
      <c r="H4" s="231"/>
      <c r="I4" s="233"/>
      <c r="J4" s="230"/>
      <c r="K4" s="218"/>
      <c r="L4" s="220"/>
      <c r="M4" s="18"/>
      <c r="N4" s="29">
        <v>15</v>
      </c>
      <c r="O4" s="30">
        <f>F3</f>
        <v>80</v>
      </c>
      <c r="P4" s="30">
        <f>F5</f>
        <v>63</v>
      </c>
      <c r="Q4" s="116">
        <f>F18</f>
        <v>82.6</v>
      </c>
      <c r="R4" s="116">
        <f>F26</f>
        <v>66.8</v>
      </c>
    </row>
    <row r="5" spans="1:18" ht="23" customHeight="1">
      <c r="A5" s="228"/>
      <c r="B5" s="227" t="s">
        <v>130</v>
      </c>
      <c r="C5" s="229" t="s">
        <v>139</v>
      </c>
      <c r="D5" s="231">
        <v>66</v>
      </c>
      <c r="E5" s="234" t="s">
        <v>140</v>
      </c>
      <c r="F5" s="231">
        <v>63</v>
      </c>
      <c r="G5" s="234" t="s">
        <v>141</v>
      </c>
      <c r="H5" s="231">
        <v>62</v>
      </c>
      <c r="I5" s="234" t="s">
        <v>142</v>
      </c>
      <c r="J5" s="247">
        <v>61</v>
      </c>
      <c r="K5" s="217" t="s">
        <v>94</v>
      </c>
      <c r="L5" s="219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>H18</f>
        <v>72.400000000000006</v>
      </c>
      <c r="R5" s="116">
        <f>H26</f>
        <v>62.2</v>
      </c>
    </row>
    <row r="6" spans="1:18" ht="23" customHeight="1">
      <c r="A6" s="228"/>
      <c r="B6" s="227"/>
      <c r="C6" s="229"/>
      <c r="D6" s="231"/>
      <c r="E6" s="233"/>
      <c r="F6" s="231"/>
      <c r="G6" s="233"/>
      <c r="H6" s="231"/>
      <c r="I6" s="233"/>
      <c r="J6" s="230"/>
      <c r="K6" s="218"/>
      <c r="L6" s="220"/>
      <c r="M6" s="18"/>
      <c r="N6" s="29">
        <v>45</v>
      </c>
      <c r="O6" s="30">
        <f>J3</f>
        <v>65</v>
      </c>
      <c r="P6" s="30">
        <f>J5</f>
        <v>61</v>
      </c>
      <c r="Q6" s="116">
        <f>J18</f>
        <v>62</v>
      </c>
      <c r="R6" s="116">
        <f>J26</f>
        <v>61.8</v>
      </c>
    </row>
    <row r="7" spans="1:18" ht="23" customHeight="1" thickBot="1">
      <c r="A7" s="64" t="s">
        <v>136</v>
      </c>
      <c r="B7" s="65">
        <v>3</v>
      </c>
      <c r="C7" s="106" t="s">
        <v>95</v>
      </c>
      <c r="D7" s="68">
        <f>AVERAGE(D3:D5)</f>
        <v>78</v>
      </c>
      <c r="E7" s="66" t="s">
        <v>96</v>
      </c>
      <c r="F7" s="68">
        <f>AVERAGE(F3:F5)</f>
        <v>71.5</v>
      </c>
      <c r="G7" s="66" t="s">
        <v>193</v>
      </c>
      <c r="H7" s="68">
        <f>AVERAGE(H3:H5)</f>
        <v>66</v>
      </c>
      <c r="I7" s="66" t="s">
        <v>44</v>
      </c>
      <c r="J7" s="68">
        <f>AVERAGE(J3:J5)</f>
        <v>63</v>
      </c>
      <c r="K7" s="66" t="s">
        <v>45</v>
      </c>
      <c r="L7" s="67">
        <f>AVERAGE(D7,F7,H7,J7)</f>
        <v>69.625</v>
      </c>
      <c r="M7" s="18"/>
      <c r="N7" s="1"/>
      <c r="O7" s="1"/>
    </row>
    <row r="8" spans="1:18" ht="23" customHeight="1">
      <c r="A8" s="33"/>
      <c r="B8" s="107"/>
      <c r="C8" s="108"/>
      <c r="D8" s="109"/>
      <c r="E8" s="25" t="s">
        <v>195</v>
      </c>
      <c r="F8" s="109">
        <v>0.05</v>
      </c>
      <c r="G8" s="109" t="s">
        <v>171</v>
      </c>
      <c r="H8" s="110">
        <v>0.95</v>
      </c>
      <c r="I8" s="108"/>
      <c r="J8" s="109"/>
      <c r="K8" s="108"/>
      <c r="L8" s="107"/>
      <c r="M8" s="18"/>
      <c r="N8" s="1"/>
      <c r="O8" s="1"/>
    </row>
    <row r="9" spans="1:18" ht="23" customHeight="1">
      <c r="A9" s="33"/>
      <c r="B9" s="111" t="s">
        <v>194</v>
      </c>
      <c r="C9" s="112">
        <v>4</v>
      </c>
      <c r="D9" s="111" t="s">
        <v>79</v>
      </c>
      <c r="E9" s="112">
        <v>2</v>
      </c>
      <c r="F9" s="111" t="s">
        <v>173</v>
      </c>
      <c r="G9" s="112">
        <v>5</v>
      </c>
      <c r="H9" s="34" t="s">
        <v>80</v>
      </c>
      <c r="I9" s="112">
        <f>G9*E9</f>
        <v>10</v>
      </c>
      <c r="J9" s="34" t="s">
        <v>81</v>
      </c>
      <c r="K9" s="112">
        <f>G9*C9</f>
        <v>20</v>
      </c>
      <c r="L9" s="107"/>
      <c r="M9" s="18"/>
    </row>
    <row r="10" spans="1:18" ht="23" customHeight="1">
      <c r="A10" s="33"/>
      <c r="B10" s="34"/>
      <c r="C10" s="245" t="s">
        <v>106</v>
      </c>
      <c r="D10" s="245"/>
      <c r="E10" s="245"/>
      <c r="F10" s="245"/>
      <c r="G10" s="245"/>
      <c r="H10" s="245"/>
      <c r="I10" s="245"/>
      <c r="J10" s="245"/>
      <c r="K10" s="35"/>
      <c r="L10" s="26"/>
      <c r="M10" s="2"/>
    </row>
    <row r="11" spans="1:18" ht="23" customHeight="1" thickBot="1">
      <c r="A11" s="57"/>
      <c r="B11" s="178"/>
      <c r="C11" s="252" t="s">
        <v>84</v>
      </c>
      <c r="D11" s="243"/>
      <c r="E11" s="244" t="s">
        <v>174</v>
      </c>
      <c r="F11" s="243"/>
      <c r="G11" s="242" t="s">
        <v>72</v>
      </c>
      <c r="H11" s="243"/>
      <c r="I11" s="242" t="s">
        <v>73</v>
      </c>
      <c r="J11" s="253"/>
      <c r="K11" s="54"/>
      <c r="L11" s="55"/>
      <c r="M11" s="3"/>
    </row>
    <row r="12" spans="1:18" ht="23" customHeight="1" thickTop="1" thickBot="1">
      <c r="A12" s="221" t="s">
        <v>68</v>
      </c>
      <c r="B12" s="248" t="s">
        <v>108</v>
      </c>
      <c r="C12" s="174" t="s">
        <v>10</v>
      </c>
      <c r="D12" s="130">
        <v>82</v>
      </c>
      <c r="E12" s="125" t="s">
        <v>11</v>
      </c>
      <c r="F12" s="130">
        <v>81</v>
      </c>
      <c r="G12" s="125" t="s">
        <v>12</v>
      </c>
      <c r="H12" s="130">
        <v>74</v>
      </c>
      <c r="I12" s="133" t="s">
        <v>13</v>
      </c>
      <c r="J12" s="181">
        <v>61</v>
      </c>
      <c r="K12" s="36"/>
      <c r="L12" s="28"/>
      <c r="M12" s="2"/>
      <c r="N12" s="20"/>
    </row>
    <row r="13" spans="1:18" ht="23" customHeight="1" thickTop="1" thickBot="1">
      <c r="A13" s="222"/>
      <c r="B13" s="249"/>
      <c r="C13" s="174" t="s">
        <v>14</v>
      </c>
      <c r="D13" s="130">
        <v>92</v>
      </c>
      <c r="E13" s="125" t="s">
        <v>15</v>
      </c>
      <c r="F13" s="130">
        <v>82</v>
      </c>
      <c r="G13" s="125" t="s">
        <v>16</v>
      </c>
      <c r="H13" s="130">
        <v>73</v>
      </c>
      <c r="I13" s="133" t="s">
        <v>17</v>
      </c>
      <c r="J13" s="181">
        <v>65</v>
      </c>
      <c r="K13" s="36"/>
      <c r="L13" s="28"/>
      <c r="M13" s="2"/>
      <c r="N13" s="20"/>
    </row>
    <row r="14" spans="1:18" ht="23" customHeight="1" thickTop="1" thickBot="1">
      <c r="A14" s="222"/>
      <c r="B14" s="249"/>
      <c r="C14" s="174" t="s">
        <v>18</v>
      </c>
      <c r="D14" s="130">
        <v>94</v>
      </c>
      <c r="E14" s="125" t="s">
        <v>19</v>
      </c>
      <c r="F14" s="130">
        <v>86</v>
      </c>
      <c r="G14" s="125" t="s">
        <v>20</v>
      </c>
      <c r="H14" s="130">
        <v>71</v>
      </c>
      <c r="I14" s="133" t="s">
        <v>21</v>
      </c>
      <c r="J14" s="181">
        <v>63</v>
      </c>
      <c r="K14" s="37"/>
      <c r="L14" s="28"/>
      <c r="M14" s="2"/>
      <c r="N14" s="20"/>
    </row>
    <row r="15" spans="1:18" ht="23" customHeight="1" thickTop="1" thickBot="1">
      <c r="A15" s="222"/>
      <c r="B15" s="249"/>
      <c r="C15" s="174" t="s">
        <v>22</v>
      </c>
      <c r="D15" s="130">
        <v>87</v>
      </c>
      <c r="E15" s="125" t="s">
        <v>23</v>
      </c>
      <c r="F15" s="130">
        <v>81</v>
      </c>
      <c r="G15" s="125" t="s">
        <v>21</v>
      </c>
      <c r="H15" s="130">
        <v>72</v>
      </c>
      <c r="I15" s="133" t="s">
        <v>24</v>
      </c>
      <c r="J15" s="181">
        <v>59</v>
      </c>
      <c r="K15" s="37"/>
      <c r="L15" s="28"/>
      <c r="M15" s="2"/>
      <c r="N15" s="20"/>
    </row>
    <row r="16" spans="1:18" ht="23" customHeight="1" thickTop="1" thickBot="1">
      <c r="A16" s="222"/>
      <c r="B16" s="249"/>
      <c r="C16" s="175" t="s">
        <v>25</v>
      </c>
      <c r="D16" s="132">
        <v>94</v>
      </c>
      <c r="E16" s="127" t="s">
        <v>26</v>
      </c>
      <c r="F16" s="132">
        <v>83</v>
      </c>
      <c r="G16" s="127" t="s">
        <v>27</v>
      </c>
      <c r="H16" s="132">
        <v>72</v>
      </c>
      <c r="I16" s="136" t="s">
        <v>28</v>
      </c>
      <c r="J16" s="182">
        <v>62</v>
      </c>
      <c r="K16" s="37"/>
      <c r="L16" s="28"/>
      <c r="M16" s="2"/>
      <c r="N16" s="20"/>
    </row>
    <row r="17" spans="1:16" ht="23" customHeight="1" thickTop="1" thickBot="1">
      <c r="A17" s="222"/>
      <c r="B17" s="249"/>
      <c r="C17" s="176" t="s">
        <v>117</v>
      </c>
      <c r="D17" s="122">
        <f>SUM(D12:D16)</f>
        <v>449</v>
      </c>
      <c r="E17" s="123" t="s">
        <v>118</v>
      </c>
      <c r="F17" s="122">
        <f>SUM(F12:F16)</f>
        <v>413</v>
      </c>
      <c r="G17" s="123" t="s">
        <v>0</v>
      </c>
      <c r="H17" s="122">
        <f>SUM(H12:H16)</f>
        <v>362</v>
      </c>
      <c r="I17" s="135" t="s">
        <v>1</v>
      </c>
      <c r="J17" s="183">
        <f>SUM(J12:J16)</f>
        <v>310</v>
      </c>
      <c r="K17" s="23" t="s">
        <v>89</v>
      </c>
      <c r="L17" s="24">
        <f>D17+F17+H17+J17</f>
        <v>1534</v>
      </c>
      <c r="M17" s="19"/>
      <c r="N17" s="20"/>
    </row>
    <row r="18" spans="1:16" ht="23" customHeight="1" thickTop="1" thickBot="1">
      <c r="A18" s="222"/>
      <c r="B18" s="249"/>
      <c r="C18" s="176" t="s">
        <v>2</v>
      </c>
      <c r="D18" s="124">
        <f>D17/$G$9</f>
        <v>89.8</v>
      </c>
      <c r="E18" s="123" t="s">
        <v>3</v>
      </c>
      <c r="F18" s="124">
        <f>F17/$G$9</f>
        <v>82.6</v>
      </c>
      <c r="G18" s="123" t="s">
        <v>4</v>
      </c>
      <c r="H18" s="124">
        <f>H17/$G$9</f>
        <v>72.400000000000006</v>
      </c>
      <c r="I18" s="135" t="s">
        <v>5</v>
      </c>
      <c r="J18" s="184">
        <f>J17/$G$9</f>
        <v>62</v>
      </c>
      <c r="K18" s="23" t="s">
        <v>42</v>
      </c>
      <c r="L18" s="39">
        <f>L17/$K$9</f>
        <v>76.7</v>
      </c>
      <c r="M18" s="19"/>
      <c r="N18" s="20"/>
    </row>
    <row r="19" spans="1:16" ht="23" customHeight="1" thickTop="1" thickBot="1">
      <c r="A19" s="222"/>
      <c r="B19" s="249"/>
      <c r="C19" s="177" t="s">
        <v>6</v>
      </c>
      <c r="D19" s="131">
        <f>VAR(D12:D16)</f>
        <v>27.200000000000003</v>
      </c>
      <c r="E19" s="126" t="s">
        <v>7</v>
      </c>
      <c r="F19" s="131">
        <f>VAR(F12:F16)</f>
        <v>4.3</v>
      </c>
      <c r="G19" s="126" t="s">
        <v>8</v>
      </c>
      <c r="H19" s="131">
        <f>VAR(H12:H16)</f>
        <v>1.3</v>
      </c>
      <c r="I19" s="134" t="s">
        <v>9</v>
      </c>
      <c r="J19" s="185">
        <f>VAR(J12:J16)</f>
        <v>5</v>
      </c>
      <c r="K19" s="43"/>
      <c r="L19" s="43"/>
      <c r="M19" s="12"/>
      <c r="N19" s="20"/>
    </row>
    <row r="20" spans="1:16" ht="23" customHeight="1" thickTop="1">
      <c r="A20" s="222"/>
      <c r="B20" s="250" t="s">
        <v>107</v>
      </c>
      <c r="C20" s="174" t="s">
        <v>29</v>
      </c>
      <c r="D20" s="130">
        <v>68</v>
      </c>
      <c r="E20" s="125" t="s">
        <v>30</v>
      </c>
      <c r="F20" s="130">
        <v>63</v>
      </c>
      <c r="G20" s="125" t="s">
        <v>31</v>
      </c>
      <c r="H20" s="130">
        <v>61</v>
      </c>
      <c r="I20" s="133" t="s">
        <v>32</v>
      </c>
      <c r="J20" s="181">
        <v>60</v>
      </c>
      <c r="K20" s="37"/>
      <c r="L20" s="28"/>
      <c r="M20" s="18"/>
      <c r="N20" s="20"/>
    </row>
    <row r="21" spans="1:16" ht="23" customHeight="1" thickTop="1">
      <c r="A21" s="222"/>
      <c r="B21" s="250"/>
      <c r="C21" s="174" t="s">
        <v>33</v>
      </c>
      <c r="D21" s="130">
        <v>67</v>
      </c>
      <c r="E21" s="125" t="s">
        <v>34</v>
      </c>
      <c r="F21" s="130">
        <v>68</v>
      </c>
      <c r="G21" s="125" t="s">
        <v>35</v>
      </c>
      <c r="H21" s="130">
        <v>66</v>
      </c>
      <c r="I21" s="133" t="s">
        <v>36</v>
      </c>
      <c r="J21" s="181">
        <v>64</v>
      </c>
      <c r="K21" s="38"/>
      <c r="L21" s="28"/>
      <c r="M21" s="9"/>
      <c r="N21" s="20"/>
    </row>
    <row r="22" spans="1:16" ht="23" customHeight="1" thickTop="1">
      <c r="A22" s="222"/>
      <c r="B22" s="250"/>
      <c r="C22" s="174" t="s">
        <v>37</v>
      </c>
      <c r="D22" s="130">
        <v>66</v>
      </c>
      <c r="E22" s="125" t="s">
        <v>144</v>
      </c>
      <c r="F22" s="130">
        <v>69</v>
      </c>
      <c r="G22" s="125" t="s">
        <v>145</v>
      </c>
      <c r="H22" s="130">
        <v>65</v>
      </c>
      <c r="I22" s="133" t="s">
        <v>146</v>
      </c>
      <c r="J22" s="181">
        <v>65</v>
      </c>
      <c r="K22" s="28"/>
      <c r="L22" s="28"/>
      <c r="M22" s="18"/>
      <c r="N22" s="20"/>
    </row>
    <row r="23" spans="1:16" ht="23" customHeight="1" thickTop="1">
      <c r="A23" s="222"/>
      <c r="B23" s="250"/>
      <c r="C23" s="174" t="s">
        <v>147</v>
      </c>
      <c r="D23" s="130">
        <v>67</v>
      </c>
      <c r="E23" s="125" t="s">
        <v>148</v>
      </c>
      <c r="F23" s="130">
        <v>68</v>
      </c>
      <c r="G23" s="125" t="s">
        <v>146</v>
      </c>
      <c r="H23" s="130">
        <v>60</v>
      </c>
      <c r="I23" s="133" t="s">
        <v>149</v>
      </c>
      <c r="J23" s="181">
        <v>58</v>
      </c>
      <c r="K23" s="28"/>
      <c r="L23" s="28"/>
      <c r="M23" s="22"/>
      <c r="N23" s="20"/>
    </row>
    <row r="24" spans="1:16" ht="23" customHeight="1" thickTop="1">
      <c r="A24" s="222"/>
      <c r="B24" s="250"/>
      <c r="C24" s="175" t="s">
        <v>150</v>
      </c>
      <c r="D24" s="132">
        <v>69</v>
      </c>
      <c r="E24" s="127" t="s">
        <v>151</v>
      </c>
      <c r="F24" s="132">
        <v>66</v>
      </c>
      <c r="G24" s="127" t="s">
        <v>152</v>
      </c>
      <c r="H24" s="132">
        <v>59</v>
      </c>
      <c r="I24" s="136" t="s">
        <v>153</v>
      </c>
      <c r="J24" s="182">
        <v>62</v>
      </c>
      <c r="K24" s="128"/>
      <c r="L24" s="128"/>
      <c r="M24" s="18"/>
      <c r="N24" s="20"/>
    </row>
    <row r="25" spans="1:16" ht="23" customHeight="1">
      <c r="A25" s="222"/>
      <c r="B25" s="250"/>
      <c r="C25" s="23" t="s">
        <v>137</v>
      </c>
      <c r="D25" s="48">
        <f>SUM(D20:D24)</f>
        <v>337</v>
      </c>
      <c r="E25" s="23" t="s">
        <v>111</v>
      </c>
      <c r="F25" s="48">
        <f>SUM(F20:F24)</f>
        <v>334</v>
      </c>
      <c r="G25" s="23" t="s">
        <v>74</v>
      </c>
      <c r="H25" s="48">
        <f>SUM(H20:H24)</f>
        <v>311</v>
      </c>
      <c r="I25" s="129" t="s">
        <v>75</v>
      </c>
      <c r="J25" s="186">
        <f>SUM(J20:J24)</f>
        <v>309</v>
      </c>
      <c r="K25" s="23" t="s">
        <v>76</v>
      </c>
      <c r="L25" s="24">
        <f>D25+F25+H25+J25</f>
        <v>1291</v>
      </c>
      <c r="M25" s="19"/>
      <c r="N25" s="20"/>
    </row>
    <row r="26" spans="1:16" ht="23" customHeight="1">
      <c r="A26" s="222"/>
      <c r="B26" s="250"/>
      <c r="C26" s="23" t="s">
        <v>138</v>
      </c>
      <c r="D26" s="49">
        <f>D25/$G$9</f>
        <v>67.400000000000006</v>
      </c>
      <c r="E26" s="23" t="s">
        <v>159</v>
      </c>
      <c r="F26" s="49">
        <f>F25/$G$9</f>
        <v>66.8</v>
      </c>
      <c r="G26" s="23" t="s">
        <v>160</v>
      </c>
      <c r="H26" s="49">
        <f>H25/$G$9</f>
        <v>62.2</v>
      </c>
      <c r="I26" s="129" t="s">
        <v>161</v>
      </c>
      <c r="J26" s="187">
        <f>J25/$G$9</f>
        <v>61.8</v>
      </c>
      <c r="K26" s="23" t="s">
        <v>162</v>
      </c>
      <c r="L26" s="39">
        <f>L25/$K$9</f>
        <v>64.55</v>
      </c>
      <c r="M26" s="19"/>
      <c r="N26" s="20"/>
    </row>
    <row r="27" spans="1:16" ht="23" customHeight="1" thickBot="1">
      <c r="A27" s="223"/>
      <c r="B27" s="251"/>
      <c r="C27" s="44" t="s">
        <v>180</v>
      </c>
      <c r="D27" s="52">
        <f>VAR(D20:D24)</f>
        <v>1.3</v>
      </c>
      <c r="E27" s="44" t="s">
        <v>181</v>
      </c>
      <c r="F27" s="52">
        <f>VAR(F20:F24)</f>
        <v>5.7000000000000011</v>
      </c>
      <c r="G27" s="44" t="s">
        <v>124</v>
      </c>
      <c r="H27" s="52">
        <f>VAR(H20:H24)</f>
        <v>9.6999999999999993</v>
      </c>
      <c r="I27" s="51" t="s">
        <v>158</v>
      </c>
      <c r="J27" s="188">
        <f>VAR(J20:J24)</f>
        <v>8.1999999999999993</v>
      </c>
      <c r="K27" s="42"/>
      <c r="L27" s="42"/>
      <c r="M27" s="12"/>
      <c r="N27" s="20"/>
    </row>
    <row r="28" spans="1:16" ht="23" customHeight="1">
      <c r="A28" s="120"/>
      <c r="B28" s="179"/>
      <c r="C28" s="23" t="s">
        <v>163</v>
      </c>
      <c r="D28" s="46">
        <f>D17+D25</f>
        <v>786</v>
      </c>
      <c r="E28" s="23" t="s">
        <v>77</v>
      </c>
      <c r="F28" s="46">
        <f>F17+F25</f>
        <v>747</v>
      </c>
      <c r="G28" s="23" t="s">
        <v>78</v>
      </c>
      <c r="H28" s="46">
        <f>H17+H25</f>
        <v>673</v>
      </c>
      <c r="I28" s="129" t="s">
        <v>168</v>
      </c>
      <c r="J28" s="189">
        <f>J17+J25</f>
        <v>619</v>
      </c>
      <c r="K28" s="23" t="s">
        <v>91</v>
      </c>
      <c r="L28" s="24">
        <f>SUM(D12:J16,D20:J24)</f>
        <v>2825</v>
      </c>
      <c r="M28" s="19"/>
    </row>
    <row r="29" spans="1:16" ht="23" customHeight="1">
      <c r="A29" s="120"/>
      <c r="B29" s="179"/>
      <c r="C29" s="23" t="s">
        <v>92</v>
      </c>
      <c r="D29" s="49">
        <f>D28/$I$9</f>
        <v>78.599999999999994</v>
      </c>
      <c r="E29" s="23" t="s">
        <v>164</v>
      </c>
      <c r="F29" s="49">
        <f>F28/$I$9</f>
        <v>74.7</v>
      </c>
      <c r="G29" s="23" t="s">
        <v>98</v>
      </c>
      <c r="H29" s="49">
        <f>H28/$I$9</f>
        <v>67.3</v>
      </c>
      <c r="I29" s="129" t="s">
        <v>99</v>
      </c>
      <c r="J29" s="187">
        <f>J28/$I$9</f>
        <v>61.9</v>
      </c>
      <c r="K29" s="23" t="s">
        <v>100</v>
      </c>
      <c r="L29" s="24">
        <f>G9*E9*C9</f>
        <v>40</v>
      </c>
      <c r="M29" s="18"/>
    </row>
    <row r="30" spans="1:16" ht="23" customHeight="1" thickBot="1">
      <c r="A30" s="121"/>
      <c r="B30" s="180"/>
      <c r="C30" s="44"/>
      <c r="D30" s="52"/>
      <c r="E30" s="44"/>
      <c r="F30" s="52"/>
      <c r="G30" s="44"/>
      <c r="H30" s="52"/>
      <c r="I30" s="51"/>
      <c r="J30" s="188"/>
      <c r="K30" s="44" t="s">
        <v>114</v>
      </c>
      <c r="L30" s="137">
        <f>L28/L29</f>
        <v>70.625</v>
      </c>
      <c r="M30" s="18"/>
    </row>
    <row r="31" spans="1:16" ht="23" customHeight="1" thickTop="1">
      <c r="A31" s="72"/>
      <c r="B31" s="73" t="s">
        <v>101</v>
      </c>
      <c r="C31" s="74">
        <f>SUMSQ(D12:J16,D20:J24)-SUMSQ(D17:J17,D25:J25)/G9</f>
        <v>250.79999999998836</v>
      </c>
      <c r="D31" s="104"/>
      <c r="E31" s="76" t="s">
        <v>127</v>
      </c>
      <c r="F31" s="72"/>
      <c r="G31" s="76"/>
      <c r="H31" s="77"/>
      <c r="I31" s="76"/>
      <c r="J31" s="77"/>
      <c r="K31" s="73"/>
      <c r="L31" s="104"/>
      <c r="M31" s="18"/>
      <c r="N31" s="138" t="s">
        <v>143</v>
      </c>
      <c r="P31" s="32"/>
    </row>
    <row r="32" spans="1:16" ht="23" customHeight="1">
      <c r="A32" s="72"/>
      <c r="B32" s="79" t="s">
        <v>177</v>
      </c>
      <c r="C32" s="89">
        <f>C9*E9*(G9-1)</f>
        <v>32</v>
      </c>
      <c r="D32" s="81"/>
      <c r="E32" s="84" t="s">
        <v>115</v>
      </c>
      <c r="F32" s="82" t="s">
        <v>116</v>
      </c>
      <c r="G32" s="84" t="s">
        <v>85</v>
      </c>
      <c r="H32" s="82" t="s">
        <v>86</v>
      </c>
      <c r="I32" s="84" t="s">
        <v>87</v>
      </c>
      <c r="J32" s="82" t="s">
        <v>69</v>
      </c>
      <c r="K32" s="94" t="s">
        <v>135</v>
      </c>
      <c r="L32" s="77"/>
      <c r="M32" s="18"/>
      <c r="N32" s="144" t="s">
        <v>198</v>
      </c>
    </row>
    <row r="33" spans="1:15" ht="23" customHeight="1">
      <c r="A33" s="72"/>
      <c r="B33" s="73" t="s">
        <v>90</v>
      </c>
      <c r="C33" s="76">
        <f>(C31/C32)</f>
        <v>7.8374999999996362</v>
      </c>
      <c r="D33" s="76"/>
      <c r="E33" s="77" t="s">
        <v>196</v>
      </c>
      <c r="F33" s="103">
        <f>C9*E9-1</f>
        <v>7</v>
      </c>
      <c r="G33" s="171">
        <f>SUMSQ(C17:J17,C25:J25)/G9-L28^2/L29</f>
        <v>3812.5750000000116</v>
      </c>
      <c r="H33" s="77">
        <f>G33/F33</f>
        <v>544.65357142857306</v>
      </c>
      <c r="I33" s="172">
        <f>H33/$H$37</f>
        <v>69.493278651176823</v>
      </c>
      <c r="J33" s="171">
        <f>FINV(0.05,F33,F37)</f>
        <v>2.3127411866337537</v>
      </c>
      <c r="K33" s="77"/>
      <c r="L33" s="77"/>
      <c r="M33" s="32"/>
      <c r="N33" s="144" t="s">
        <v>199</v>
      </c>
      <c r="O33" s="140">
        <f>SQRT(H37/I9)</f>
        <v>0.88529656048126815</v>
      </c>
    </row>
    <row r="34" spans="1:15" ht="23" customHeight="1">
      <c r="A34" s="82"/>
      <c r="B34" s="83" t="s">
        <v>113</v>
      </c>
      <c r="C34" s="84">
        <f>SQRT(C33)</f>
        <v>2.7995535358338186</v>
      </c>
      <c r="D34" s="77"/>
      <c r="E34" s="73" t="s">
        <v>70</v>
      </c>
      <c r="F34" s="105">
        <f>C9-1</f>
        <v>3</v>
      </c>
      <c r="G34" s="172">
        <f>SUMSQ(C28:J28)/I9-L28^2/L29</f>
        <v>1673.875</v>
      </c>
      <c r="H34" s="117">
        <f>G34/F34</f>
        <v>557.95833333333337</v>
      </c>
      <c r="I34" s="172">
        <f>H34/$H$37</f>
        <v>71.190855927701335</v>
      </c>
      <c r="J34" s="172">
        <f>FINV($F$8,F34,$F$37)</f>
        <v>2.9011195838408388</v>
      </c>
      <c r="K34" s="216" t="str">
        <f>IF(I34&gt;J34,"Reject", "Don't reject")</f>
        <v>Reject</v>
      </c>
      <c r="L34" s="216"/>
      <c r="M34" s="22"/>
      <c r="N34" s="139"/>
    </row>
    <row r="35" spans="1:15" ht="23" customHeight="1">
      <c r="A35" s="85"/>
      <c r="B35" s="89" t="s">
        <v>41</v>
      </c>
      <c r="C35" s="87"/>
      <c r="D35" s="88"/>
      <c r="E35" s="88" t="s">
        <v>71</v>
      </c>
      <c r="F35" s="105">
        <f>E9-1</f>
        <v>1</v>
      </c>
      <c r="G35" s="173">
        <f>SUMSQ(L17,L25)/K9-L28^2/L29</f>
        <v>1476.2250000000058</v>
      </c>
      <c r="H35" s="117">
        <f t="shared" ref="H35:H37" si="0">G35/F35</f>
        <v>1476.2250000000058</v>
      </c>
      <c r="I35" s="172">
        <f t="shared" ref="I35:I36" si="1">H35/$H$37</f>
        <v>188.35406698565541</v>
      </c>
      <c r="J35" s="172">
        <f>FINV($F$8,F35,$F$37)</f>
        <v>4.1490974456995477</v>
      </c>
      <c r="K35" s="216" t="str">
        <f t="shared" ref="K35:K36" si="2">IF(I35&gt;J35,"Reject", "Don't reject")</f>
        <v>Reject</v>
      </c>
      <c r="L35" s="216"/>
      <c r="M35" s="18"/>
      <c r="N35" s="144" t="s">
        <v>200</v>
      </c>
    </row>
    <row r="36" spans="1:15" ht="23" customHeight="1">
      <c r="A36" s="72"/>
      <c r="B36" s="73" t="s">
        <v>109</v>
      </c>
      <c r="C36" s="89">
        <f>C32</f>
        <v>32</v>
      </c>
      <c r="D36" s="77"/>
      <c r="E36" s="96" t="s">
        <v>169</v>
      </c>
      <c r="F36" s="105">
        <f>F34*F35</f>
        <v>3</v>
      </c>
      <c r="G36" s="172">
        <f>G33-(G34+G35)</f>
        <v>662.47500000000582</v>
      </c>
      <c r="H36" s="117">
        <f t="shared" si="0"/>
        <v>220.82500000000195</v>
      </c>
      <c r="I36" s="172">
        <f t="shared" si="1"/>
        <v>28.175438596492786</v>
      </c>
      <c r="J36" s="172">
        <f>FINV($F$8,F36,$F$37)</f>
        <v>2.9011195838408388</v>
      </c>
      <c r="K36" s="216" t="str">
        <f t="shared" si="2"/>
        <v>Reject</v>
      </c>
      <c r="L36" s="216"/>
      <c r="M36" s="18"/>
      <c r="N36" s="144" t="s">
        <v>199</v>
      </c>
      <c r="O36" s="141">
        <f>SQRT(H37/K9)</f>
        <v>0.62599920127743125</v>
      </c>
    </row>
    <row r="37" spans="1:15" ht="23" customHeight="1">
      <c r="A37" s="72"/>
      <c r="B37" s="73" t="s">
        <v>125</v>
      </c>
      <c r="C37" s="91">
        <f>TINV(1-H8,C32)</f>
        <v>2.0369333434601011</v>
      </c>
      <c r="D37" s="77"/>
      <c r="E37" s="95" t="s">
        <v>170</v>
      </c>
      <c r="F37" s="103">
        <f>C9*E9*(G9-1)</f>
        <v>32</v>
      </c>
      <c r="G37" s="171">
        <f>SUMSQ(C12:J16,C20:J24)-SUMSQ(C17:J17,C25:J25)/G9</f>
        <v>250.79999999998836</v>
      </c>
      <c r="H37" s="102">
        <f t="shared" si="0"/>
        <v>7.8374999999996362</v>
      </c>
      <c r="I37" s="95"/>
      <c r="J37" s="77"/>
      <c r="K37" s="77"/>
      <c r="L37" s="77"/>
      <c r="M37" s="18"/>
      <c r="N37" s="22"/>
    </row>
    <row r="38" spans="1:15" ht="23" customHeight="1">
      <c r="A38" s="72"/>
      <c r="B38" s="73" t="s">
        <v>126</v>
      </c>
      <c r="C38" s="91">
        <f>C34/SQRT(G9)</f>
        <v>1.2519984025548623</v>
      </c>
      <c r="D38" s="77"/>
      <c r="E38" s="71" t="s">
        <v>67</v>
      </c>
      <c r="F38" s="104">
        <f>F33+F37</f>
        <v>39</v>
      </c>
      <c r="G38" s="74">
        <f>G33+G37</f>
        <v>4063.375</v>
      </c>
      <c r="H38" s="94"/>
      <c r="I38" s="76"/>
      <c r="J38" s="94"/>
      <c r="K38" s="77"/>
      <c r="L38" s="77"/>
      <c r="M38" s="18"/>
      <c r="N38" s="144" t="s">
        <v>201</v>
      </c>
    </row>
    <row r="39" spans="1:15" ht="23" customHeight="1">
      <c r="A39" s="72"/>
      <c r="B39" s="92" t="s">
        <v>83</v>
      </c>
      <c r="C39" s="93">
        <f>C37*C38</f>
        <v>2.5502372921227812</v>
      </c>
      <c r="D39" s="77"/>
      <c r="E39" s="76"/>
      <c r="F39" s="77"/>
      <c r="G39" s="76"/>
      <c r="H39" s="77"/>
      <c r="I39" s="76"/>
      <c r="J39" s="77"/>
      <c r="K39" s="77"/>
      <c r="L39" s="77"/>
      <c r="M39" s="18"/>
      <c r="N39" s="144" t="s">
        <v>199</v>
      </c>
      <c r="O39" s="142">
        <f>SQRT(H37/L29)</f>
        <v>0.44264828024063407</v>
      </c>
    </row>
    <row r="40" spans="1:15" ht="19" customHeight="1">
      <c r="B40" s="32"/>
      <c r="C40" s="32"/>
      <c r="D40" s="32"/>
      <c r="E40" s="32"/>
      <c r="F40" s="32"/>
      <c r="G40" s="70"/>
      <c r="H40" s="32"/>
      <c r="I40" s="32"/>
      <c r="J40" s="32"/>
      <c r="K40" s="32"/>
      <c r="L40" s="32"/>
      <c r="M40" s="18"/>
      <c r="N40" s="10"/>
    </row>
    <row r="41" spans="1:15">
      <c r="D41" s="32"/>
      <c r="E41" s="32"/>
      <c r="F41" s="32"/>
      <c r="G41" s="32"/>
      <c r="H41" s="32"/>
      <c r="I41" s="32"/>
      <c r="J41" s="32"/>
      <c r="K41" s="32"/>
      <c r="L41" s="32"/>
      <c r="M41" s="18"/>
      <c r="N41" s="22"/>
    </row>
    <row r="42" spans="1: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8"/>
      <c r="N42" s="19"/>
    </row>
    <row r="43" spans="1: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8"/>
      <c r="N43" s="22"/>
    </row>
    <row r="44" spans="1: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8"/>
      <c r="N44" s="10"/>
    </row>
    <row r="45" spans="1: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8"/>
      <c r="N45" s="10"/>
    </row>
    <row r="46" spans="1: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8"/>
      <c r="N46" s="10"/>
    </row>
    <row r="47" spans="1: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8"/>
      <c r="N47" s="10"/>
    </row>
    <row r="48" spans="1: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36">
    <mergeCell ref="K34:L34"/>
    <mergeCell ref="K35:L35"/>
    <mergeCell ref="K36:L36"/>
    <mergeCell ref="C11:D11"/>
    <mergeCell ref="E11:F11"/>
    <mergeCell ref="G11:H11"/>
    <mergeCell ref="I11:J11"/>
    <mergeCell ref="A12:A27"/>
    <mergeCell ref="B12:B19"/>
    <mergeCell ref="B20:B27"/>
    <mergeCell ref="H5:H6"/>
    <mergeCell ref="I5:I6"/>
    <mergeCell ref="B5:B6"/>
    <mergeCell ref="K5:K6"/>
    <mergeCell ref="L5:L6"/>
    <mergeCell ref="C10:J10"/>
    <mergeCell ref="I3:I4"/>
    <mergeCell ref="J3:J4"/>
    <mergeCell ref="K3:K4"/>
    <mergeCell ref="L3:L4"/>
    <mergeCell ref="C5:C6"/>
    <mergeCell ref="D5:D6"/>
    <mergeCell ref="E5:E6"/>
    <mergeCell ref="F5:F6"/>
    <mergeCell ref="G5:G6"/>
    <mergeCell ref="A1:B2"/>
    <mergeCell ref="C1:J1"/>
    <mergeCell ref="A3:A6"/>
    <mergeCell ref="B3:B4"/>
    <mergeCell ref="C3:C4"/>
    <mergeCell ref="D3:D4"/>
    <mergeCell ref="E3:E4"/>
    <mergeCell ref="F3:F4"/>
    <mergeCell ref="G3:G4"/>
    <mergeCell ref="H3:H4"/>
    <mergeCell ref="J5:J6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46"/>
  <sheetViews>
    <sheetView tabSelected="1" zoomScale="90" workbookViewId="0">
      <selection activeCell="P6" sqref="P6"/>
    </sheetView>
  </sheetViews>
  <sheetFormatPr baseColWidth="10" defaultRowHeight="19" x14ac:dyDescent="0"/>
  <cols>
    <col min="1" max="1" width="6.69921875" style="1" customWidth="1"/>
    <col min="2" max="2" width="6.59765625" style="1" customWidth="1"/>
    <col min="3" max="5" width="10.09765625" style="1" customWidth="1"/>
    <col min="6" max="7" width="7.3984375" style="1" customWidth="1"/>
    <col min="8" max="8" width="6.296875" style="1" customWidth="1"/>
    <col min="9" max="9" width="4.5" style="1" customWidth="1"/>
    <col min="10" max="10" width="8.69921875" style="1" customWidth="1"/>
    <col min="11" max="11" width="8.3984375" style="1" customWidth="1"/>
    <col min="12" max="12" width="5.09765625" style="1" customWidth="1"/>
    <col min="13" max="13" width="7.19921875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6" ht="23" customHeight="1">
      <c r="A1" s="33"/>
      <c r="B1" s="107"/>
      <c r="C1" s="108"/>
      <c r="D1" s="109"/>
      <c r="E1" s="25" t="s">
        <v>195</v>
      </c>
      <c r="F1" s="109">
        <v>0.05</v>
      </c>
      <c r="G1" s="109" t="s">
        <v>171</v>
      </c>
      <c r="H1" s="110">
        <v>0.95</v>
      </c>
      <c r="I1" s="108"/>
      <c r="J1" s="109"/>
      <c r="K1" s="108"/>
      <c r="L1" s="213"/>
      <c r="M1" s="18"/>
      <c r="N1" s="1"/>
      <c r="O1" s="1"/>
    </row>
    <row r="2" spans="1:16" ht="23" customHeight="1">
      <c r="A2" s="33"/>
      <c r="B2" s="111" t="s">
        <v>194</v>
      </c>
      <c r="C2" s="112">
        <v>3</v>
      </c>
      <c r="D2" s="111" t="s">
        <v>79</v>
      </c>
      <c r="E2" s="112">
        <v>3</v>
      </c>
      <c r="F2" s="111" t="s">
        <v>173</v>
      </c>
      <c r="G2" s="112">
        <v>3</v>
      </c>
      <c r="H2" s="34" t="s">
        <v>80</v>
      </c>
      <c r="I2" s="112">
        <f>G2*E2</f>
        <v>9</v>
      </c>
      <c r="J2" s="34" t="s">
        <v>81</v>
      </c>
      <c r="K2" s="112">
        <f>G2*C2</f>
        <v>9</v>
      </c>
      <c r="L2" s="213"/>
      <c r="M2" s="18"/>
    </row>
    <row r="3" spans="1:16" ht="23" customHeight="1">
      <c r="A3" s="33"/>
      <c r="B3" s="34"/>
      <c r="C3" s="262" t="s">
        <v>221</v>
      </c>
      <c r="D3" s="262"/>
      <c r="E3" s="262"/>
      <c r="F3" s="262"/>
      <c r="G3" s="262"/>
      <c r="H3" s="262"/>
      <c r="I3" s="262"/>
      <c r="J3" s="262"/>
      <c r="K3" s="35"/>
      <c r="L3" s="213"/>
      <c r="M3" s="2"/>
    </row>
    <row r="4" spans="1:16" ht="23" customHeight="1" thickBot="1">
      <c r="A4" s="57"/>
      <c r="B4" s="178"/>
      <c r="C4" s="195">
        <v>0</v>
      </c>
      <c r="D4" s="196">
        <v>1</v>
      </c>
      <c r="E4" s="197">
        <v>2</v>
      </c>
      <c r="F4" s="54"/>
      <c r="G4" s="54"/>
      <c r="H4" s="213"/>
      <c r="I4" s="213"/>
      <c r="J4" s="213"/>
      <c r="K4" s="213"/>
      <c r="L4" s="213"/>
      <c r="M4" s="3"/>
    </row>
    <row r="5" spans="1:16" ht="23" customHeight="1" thickTop="1" thickBot="1">
      <c r="A5" s="256" t="s">
        <v>222</v>
      </c>
      <c r="B5" s="259">
        <v>0</v>
      </c>
      <c r="C5" s="198">
        <v>2</v>
      </c>
      <c r="D5" s="198">
        <v>2.5</v>
      </c>
      <c r="E5" s="199">
        <v>2.4</v>
      </c>
      <c r="F5" s="200"/>
      <c r="G5" s="201"/>
      <c r="I5" s="160" t="s">
        <v>202</v>
      </c>
      <c r="J5" s="160" t="s">
        <v>213</v>
      </c>
      <c r="K5" s="161">
        <f>SUMSQ(C5:E7,C11:E13,C17:E19)</f>
        <v>164.59</v>
      </c>
      <c r="L5" s="164">
        <v>1</v>
      </c>
      <c r="M5" s="158">
        <f>K5</f>
        <v>164.59</v>
      </c>
      <c r="N5" s="155"/>
    </row>
    <row r="6" spans="1:16" ht="23" customHeight="1" thickBot="1">
      <c r="A6" s="257"/>
      <c r="B6" s="260"/>
      <c r="C6" s="145">
        <v>2</v>
      </c>
      <c r="D6" s="145">
        <v>2.5</v>
      </c>
      <c r="E6" s="190">
        <v>2.6</v>
      </c>
      <c r="F6" s="38"/>
      <c r="G6" s="187"/>
      <c r="H6" s="157"/>
      <c r="I6" s="160" t="s">
        <v>203</v>
      </c>
      <c r="J6" s="160" t="s">
        <v>217</v>
      </c>
      <c r="K6" s="161">
        <f>SUMSQ(C8:E8,C14:E14,C20:E20)</f>
        <v>492.21000000000004</v>
      </c>
      <c r="L6" s="164">
        <f>G2</f>
        <v>3</v>
      </c>
      <c r="M6" s="158">
        <f>K6/G2</f>
        <v>164.07000000000002</v>
      </c>
      <c r="N6" s="155"/>
    </row>
    <row r="7" spans="1:16" ht="23" customHeight="1" thickBot="1">
      <c r="A7" s="257"/>
      <c r="B7" s="260"/>
      <c r="C7" s="147">
        <v>2.2999999999999998</v>
      </c>
      <c r="D7" s="147">
        <v>2.5</v>
      </c>
      <c r="E7" s="191">
        <v>2.8</v>
      </c>
      <c r="F7" s="148"/>
      <c r="G7" s="187"/>
      <c r="H7" s="157"/>
      <c r="I7" s="160" t="s">
        <v>204</v>
      </c>
      <c r="J7" s="160" t="s">
        <v>214</v>
      </c>
      <c r="K7" s="161">
        <f>SUMSQ(C23:E23)</f>
        <v>1476.0900000000001</v>
      </c>
      <c r="L7" s="164">
        <f>I2</f>
        <v>9</v>
      </c>
      <c r="M7" s="158">
        <f>K7/I2</f>
        <v>164.01000000000002</v>
      </c>
      <c r="N7" s="155"/>
    </row>
    <row r="8" spans="1:16" ht="23" customHeight="1" thickBot="1">
      <c r="A8" s="257"/>
      <c r="B8" s="260"/>
      <c r="C8" s="153">
        <f>SUM(C5:C7)</f>
        <v>6.3</v>
      </c>
      <c r="D8" s="153">
        <f t="shared" ref="D8:E8" si="0">SUM(D5:D7)</f>
        <v>7.5</v>
      </c>
      <c r="E8" s="192">
        <f t="shared" si="0"/>
        <v>7.8</v>
      </c>
      <c r="F8" s="149" t="s">
        <v>89</v>
      </c>
      <c r="G8" s="202">
        <f>SUM(C8:E8)</f>
        <v>21.6</v>
      </c>
      <c r="I8" s="160" t="s">
        <v>205</v>
      </c>
      <c r="J8" s="160" t="s">
        <v>215</v>
      </c>
      <c r="K8" s="161">
        <f>SUMSQ(G8,G14,G20)</f>
        <v>1465.65</v>
      </c>
      <c r="L8" s="164">
        <f>K2</f>
        <v>9</v>
      </c>
      <c r="M8" s="158">
        <f>K8/K2</f>
        <v>162.85000000000002</v>
      </c>
      <c r="N8" s="155"/>
    </row>
    <row r="9" spans="1:16" ht="23" customHeight="1" thickBot="1">
      <c r="A9" s="257"/>
      <c r="B9" s="260"/>
      <c r="C9" s="152">
        <f>C8/$G$2</f>
        <v>2.1</v>
      </c>
      <c r="D9" s="152">
        <f t="shared" ref="D9:E9" si="1">D8/$G$2</f>
        <v>2.5</v>
      </c>
      <c r="E9" s="193">
        <f t="shared" si="1"/>
        <v>2.6</v>
      </c>
      <c r="F9" s="149" t="s">
        <v>42</v>
      </c>
      <c r="G9" s="202">
        <f>G8/$K$2</f>
        <v>2.4000000000000004</v>
      </c>
      <c r="I9" s="160" t="s">
        <v>212</v>
      </c>
      <c r="J9" s="160" t="s">
        <v>216</v>
      </c>
      <c r="K9" s="161">
        <f>G23^2</f>
        <v>4395.6899999999996</v>
      </c>
      <c r="L9" s="164">
        <f>G24</f>
        <v>27</v>
      </c>
      <c r="M9" s="158">
        <f>K9/G24</f>
        <v>162.80333333333331</v>
      </c>
      <c r="N9" s="155"/>
      <c r="P9" s="212"/>
    </row>
    <row r="10" spans="1:16" ht="23" customHeight="1" thickBot="1">
      <c r="A10" s="257"/>
      <c r="B10" s="260"/>
      <c r="C10" s="170">
        <f>VAR(C5:C7)</f>
        <v>2.9999999999999964E-2</v>
      </c>
      <c r="D10" s="170">
        <f t="shared" ref="D10:E10" si="2">VAR(D5:D7)</f>
        <v>0</v>
      </c>
      <c r="E10" s="194">
        <f t="shared" si="2"/>
        <v>3.999999999999998E-2</v>
      </c>
      <c r="F10" s="150"/>
      <c r="G10" s="203"/>
      <c r="L10" s="164"/>
      <c r="M10" s="158"/>
      <c r="N10" s="155"/>
    </row>
    <row r="11" spans="1:16" ht="23" customHeight="1">
      <c r="A11" s="257"/>
      <c r="B11" s="254">
        <v>1</v>
      </c>
      <c r="C11" s="145">
        <v>2.2999999999999998</v>
      </c>
      <c r="D11" s="145">
        <v>2.4</v>
      </c>
      <c r="E11" s="190">
        <v>2.7</v>
      </c>
      <c r="F11" s="148"/>
      <c r="G11" s="187"/>
      <c r="I11" s="160" t="s">
        <v>206</v>
      </c>
      <c r="J11" s="1">
        <f>M6</f>
        <v>164.07000000000002</v>
      </c>
      <c r="K11" s="1">
        <f>$M$9</f>
        <v>162.80333333333331</v>
      </c>
      <c r="L11" s="164"/>
      <c r="M11" s="158">
        <f>J11-K11</f>
        <v>1.2666666666667084</v>
      </c>
      <c r="N11" s="155"/>
    </row>
    <row r="12" spans="1:16" ht="23" customHeight="1">
      <c r="A12" s="257"/>
      <c r="B12" s="254"/>
      <c r="C12" s="145">
        <v>2.2000000000000002</v>
      </c>
      <c r="D12" s="145">
        <v>2.4</v>
      </c>
      <c r="E12" s="190">
        <v>2.6</v>
      </c>
      <c r="F12" s="146"/>
      <c r="G12" s="187"/>
      <c r="I12" s="160" t="s">
        <v>207</v>
      </c>
      <c r="J12" s="1">
        <f>M7</f>
        <v>164.01000000000002</v>
      </c>
      <c r="K12" s="1">
        <f>$M$9</f>
        <v>162.80333333333331</v>
      </c>
      <c r="L12" s="164"/>
      <c r="M12" s="158">
        <f>J12-K12</f>
        <v>1.2066666666667061</v>
      </c>
      <c r="N12" s="155"/>
    </row>
    <row r="13" spans="1:16" ht="23" customHeight="1">
      <c r="A13" s="257"/>
      <c r="B13" s="254"/>
      <c r="C13" s="147">
        <v>2.1</v>
      </c>
      <c r="D13" s="147">
        <v>3</v>
      </c>
      <c r="E13" s="191">
        <v>2.8</v>
      </c>
      <c r="F13" s="151"/>
      <c r="G13" s="204"/>
      <c r="I13" s="160" t="s">
        <v>208</v>
      </c>
      <c r="J13" s="1">
        <f>M8</f>
        <v>162.85000000000002</v>
      </c>
      <c r="K13" s="1">
        <f>$M$9</f>
        <v>162.80333333333331</v>
      </c>
      <c r="L13" s="164"/>
      <c r="M13" s="158">
        <f>J13-K13</f>
        <v>4.6666666666709489E-2</v>
      </c>
      <c r="N13" s="155"/>
    </row>
    <row r="14" spans="1:16" ht="23" customHeight="1">
      <c r="A14" s="257"/>
      <c r="B14" s="254"/>
      <c r="C14" s="153">
        <f>SUM(C11:C13)</f>
        <v>6.6</v>
      </c>
      <c r="D14" s="153">
        <f t="shared" ref="D14" si="3">SUM(D11:D13)</f>
        <v>7.8</v>
      </c>
      <c r="E14" s="192">
        <f t="shared" ref="E14" si="4">SUM(E11:E13)</f>
        <v>8.1000000000000014</v>
      </c>
      <c r="F14" s="149" t="s">
        <v>76</v>
      </c>
      <c r="G14" s="202">
        <f>SUM(C14:E14)</f>
        <v>22.5</v>
      </c>
      <c r="I14" s="160" t="s">
        <v>209</v>
      </c>
      <c r="J14" s="158">
        <f>M11</f>
        <v>1.2666666666667084</v>
      </c>
      <c r="K14" s="158">
        <f>M12+M13</f>
        <v>1.2533333333334156</v>
      </c>
      <c r="L14" s="164"/>
      <c r="M14" s="158">
        <f>J14-K14</f>
        <v>1.3333333333292785E-2</v>
      </c>
      <c r="N14" s="155"/>
    </row>
    <row r="15" spans="1:16" ht="23" customHeight="1">
      <c r="A15" s="257"/>
      <c r="B15" s="254"/>
      <c r="C15" s="152">
        <f>C14/$G$2</f>
        <v>2.1999999999999997</v>
      </c>
      <c r="D15" s="152">
        <f t="shared" ref="D15" si="5">D14/$G$2</f>
        <v>2.6</v>
      </c>
      <c r="E15" s="193">
        <f t="shared" ref="E15" si="6">E14/$G$2</f>
        <v>2.7000000000000006</v>
      </c>
      <c r="F15" s="149" t="s">
        <v>162</v>
      </c>
      <c r="G15" s="202">
        <f>G14/$K$2</f>
        <v>2.5</v>
      </c>
      <c r="I15" s="160" t="s">
        <v>210</v>
      </c>
      <c r="J15" s="1">
        <f>K5</f>
        <v>164.59</v>
      </c>
      <c r="K15" s="1">
        <f>M6</f>
        <v>164.07000000000002</v>
      </c>
      <c r="L15" s="164"/>
      <c r="M15" s="158">
        <f>M12-(M13+M14)</f>
        <v>1.1466666666667038</v>
      </c>
      <c r="N15" s="155"/>
    </row>
    <row r="16" spans="1:16" ht="23" customHeight="1" thickBot="1">
      <c r="A16" s="257"/>
      <c r="B16" s="255"/>
      <c r="C16" s="170">
        <f>VAR(C11:C13)</f>
        <v>9.9999999999999742E-3</v>
      </c>
      <c r="D16" s="170">
        <f t="shared" ref="D16:E16" si="7">VAR(D11:D13)</f>
        <v>0.12000000000000099</v>
      </c>
      <c r="E16" s="194">
        <f t="shared" si="7"/>
        <v>9.9999999999999742E-3</v>
      </c>
      <c r="F16" s="150"/>
      <c r="G16" s="203"/>
      <c r="I16" s="159"/>
      <c r="M16" s="156"/>
      <c r="N16" s="155"/>
    </row>
    <row r="17" spans="1:16" ht="23" customHeight="1">
      <c r="A17" s="257"/>
      <c r="B17" s="254">
        <v>2</v>
      </c>
      <c r="C17" s="145">
        <v>2.2000000000000002</v>
      </c>
      <c r="D17" s="145">
        <v>2.4</v>
      </c>
      <c r="E17" s="190">
        <v>2.9</v>
      </c>
      <c r="F17" s="148"/>
      <c r="G17" s="187"/>
    </row>
    <row r="18" spans="1:16" ht="23" customHeight="1">
      <c r="A18" s="257"/>
      <c r="B18" s="254"/>
      <c r="C18" s="145">
        <v>2.2000000000000002</v>
      </c>
      <c r="D18" s="145">
        <v>2.6</v>
      </c>
      <c r="E18" s="190">
        <v>2.5</v>
      </c>
      <c r="F18" s="146"/>
      <c r="G18" s="187"/>
    </row>
    <row r="19" spans="1:16" ht="23" customHeight="1">
      <c r="A19" s="257"/>
      <c r="B19" s="254"/>
      <c r="C19" s="147">
        <v>2.2000000000000002</v>
      </c>
      <c r="D19" s="147">
        <v>2.5</v>
      </c>
      <c r="E19" s="191">
        <v>2.7</v>
      </c>
      <c r="F19" s="151"/>
      <c r="G19" s="204"/>
      <c r="J19" s="165" t="s">
        <v>143</v>
      </c>
    </row>
    <row r="20" spans="1:16" ht="23" customHeight="1">
      <c r="A20" s="257"/>
      <c r="B20" s="254"/>
      <c r="C20" s="153">
        <f>SUM(C17:C19)</f>
        <v>6.6000000000000005</v>
      </c>
      <c r="D20" s="153">
        <f t="shared" ref="D20" si="8">SUM(D17:D19)</f>
        <v>7.5</v>
      </c>
      <c r="E20" s="192">
        <f t="shared" ref="E20" si="9">SUM(E17:E19)</f>
        <v>8.1000000000000014</v>
      </c>
      <c r="F20" s="149" t="s">
        <v>76</v>
      </c>
      <c r="G20" s="202">
        <f>SUM(C20:E20)</f>
        <v>22.200000000000003</v>
      </c>
      <c r="J20" s="166" t="s">
        <v>218</v>
      </c>
      <c r="K20" s="166" t="s">
        <v>199</v>
      </c>
      <c r="L20" s="166" t="s">
        <v>219</v>
      </c>
      <c r="M20" s="166" t="s">
        <v>220</v>
      </c>
    </row>
    <row r="21" spans="1:16" ht="23" customHeight="1">
      <c r="A21" s="257"/>
      <c r="B21" s="254"/>
      <c r="C21" s="152">
        <f>C20/$G$2</f>
        <v>2.2000000000000002</v>
      </c>
      <c r="D21" s="152">
        <f t="shared" ref="D21" si="10">D20/$G$2</f>
        <v>2.5</v>
      </c>
      <c r="E21" s="193">
        <f t="shared" ref="E21" si="11">E20/$G$2</f>
        <v>2.7000000000000006</v>
      </c>
      <c r="F21" s="149" t="s">
        <v>162</v>
      </c>
      <c r="G21" s="202">
        <f>G20/$K$2</f>
        <v>2.4666666666666668</v>
      </c>
      <c r="I21" s="163" t="s">
        <v>198</v>
      </c>
      <c r="J21" s="164">
        <f>I2</f>
        <v>9</v>
      </c>
      <c r="K21" s="142">
        <f>SQRT($H$32/J21)</f>
        <v>8.4131975493338743E-2</v>
      </c>
      <c r="L21" s="167">
        <f>$C$32</f>
        <v>2.1009220402410378</v>
      </c>
      <c r="M21" s="142">
        <f>K21*L21</f>
        <v>0.17675472160297423</v>
      </c>
      <c r="N21" s="142"/>
    </row>
    <row r="22" spans="1:16" ht="23" customHeight="1" thickBot="1">
      <c r="A22" s="258"/>
      <c r="B22" s="261"/>
      <c r="C22" s="205">
        <f>VAR(C17:C19)</f>
        <v>0</v>
      </c>
      <c r="D22" s="205">
        <f t="shared" ref="D22:E22" si="12">VAR(D17:D19)</f>
        <v>1.0000000000000018E-2</v>
      </c>
      <c r="E22" s="206">
        <f t="shared" si="12"/>
        <v>3.999999999999998E-2</v>
      </c>
      <c r="F22" s="207"/>
      <c r="G22" s="208"/>
      <c r="I22" s="163" t="s">
        <v>211</v>
      </c>
      <c r="J22" s="164">
        <f>K2</f>
        <v>9</v>
      </c>
      <c r="K22" s="142">
        <f t="shared" ref="K22:K23" si="13">SQRT($H$32/J22)</f>
        <v>8.4131975493338743E-2</v>
      </c>
      <c r="L22" s="167">
        <f t="shared" ref="L22:L23" si="14">$C$32</f>
        <v>2.1009220402410378</v>
      </c>
      <c r="M22" s="142">
        <f t="shared" ref="M22:M23" si="15">K22*L22</f>
        <v>0.17675472160297423</v>
      </c>
      <c r="N22" s="155"/>
      <c r="O22" s="169"/>
    </row>
    <row r="23" spans="1:16" ht="23" customHeight="1" thickTop="1">
      <c r="A23" s="143"/>
      <c r="B23" s="179"/>
      <c r="C23" s="153">
        <f>C8+C14+C20</f>
        <v>19.5</v>
      </c>
      <c r="D23" s="153">
        <f t="shared" ref="D23:E23" si="16">D8+D14+D20</f>
        <v>22.8</v>
      </c>
      <c r="E23" s="192">
        <f t="shared" si="16"/>
        <v>24.000000000000004</v>
      </c>
      <c r="F23" s="154" t="s">
        <v>91</v>
      </c>
      <c r="G23" s="202">
        <f>SUM(C23:E23)</f>
        <v>66.3</v>
      </c>
      <c r="I23" s="163" t="s">
        <v>201</v>
      </c>
      <c r="J23" s="164">
        <f>G24</f>
        <v>27</v>
      </c>
      <c r="K23" s="142">
        <f t="shared" si="13"/>
        <v>4.8573618698534125E-2</v>
      </c>
      <c r="L23" s="167">
        <f t="shared" si="14"/>
        <v>2.1009220402410378</v>
      </c>
      <c r="M23" s="142">
        <f t="shared" si="15"/>
        <v>0.10204938609801453</v>
      </c>
      <c r="N23" s="155"/>
    </row>
    <row r="24" spans="1:16" ht="23" customHeight="1">
      <c r="A24" s="143"/>
      <c r="B24" s="179"/>
      <c r="C24" s="152">
        <f>C23/$I2</f>
        <v>2.1666666666666665</v>
      </c>
      <c r="D24" s="152">
        <f t="shared" ref="D24:E24" si="17">D23/$I2</f>
        <v>2.5333333333333332</v>
      </c>
      <c r="E24" s="193">
        <f t="shared" si="17"/>
        <v>2.666666666666667</v>
      </c>
      <c r="F24" s="154" t="s">
        <v>100</v>
      </c>
      <c r="G24" s="210">
        <f>G2*E2*C2</f>
        <v>27</v>
      </c>
      <c r="M24" s="18"/>
    </row>
    <row r="25" spans="1:16" ht="23" customHeight="1" thickBot="1">
      <c r="A25" s="162"/>
      <c r="B25" s="180"/>
      <c r="C25" s="205">
        <f>VAR(C20:C22)</f>
        <v>11.293333333333338</v>
      </c>
      <c r="D25" s="205">
        <f t="shared" ref="D25:E25" si="18">VAR(D20:D22)</f>
        <v>14.550033333333335</v>
      </c>
      <c r="E25" s="206">
        <f t="shared" si="18"/>
        <v>16.866533333333344</v>
      </c>
      <c r="F25" s="209" t="s">
        <v>114</v>
      </c>
      <c r="G25" s="211">
        <f>G23/G24</f>
        <v>2.4555555555555553</v>
      </c>
      <c r="M25" s="18"/>
    </row>
    <row r="26" spans="1:16" ht="23" customHeight="1" thickTop="1">
      <c r="A26" s="72"/>
      <c r="B26" s="73" t="s">
        <v>101</v>
      </c>
      <c r="C26" s="76">
        <f>M15</f>
        <v>1.1466666666667038</v>
      </c>
      <c r="D26" s="104"/>
      <c r="E26" s="76" t="s">
        <v>127</v>
      </c>
      <c r="F26" s="72"/>
      <c r="G26" s="76"/>
      <c r="H26" s="77"/>
      <c r="I26" s="76"/>
      <c r="J26" s="77"/>
      <c r="K26" s="73"/>
      <c r="L26" s="104"/>
      <c r="M26" s="18"/>
      <c r="P26" s="32"/>
    </row>
    <row r="27" spans="1:16" ht="23" customHeight="1">
      <c r="A27" s="72"/>
      <c r="B27" s="79" t="s">
        <v>177</v>
      </c>
      <c r="C27" s="89">
        <f>C2*E2*(G2-1)</f>
        <v>18</v>
      </c>
      <c r="D27" s="81"/>
      <c r="E27" s="84" t="s">
        <v>115</v>
      </c>
      <c r="F27" s="82" t="s">
        <v>116</v>
      </c>
      <c r="G27" s="84" t="s">
        <v>85</v>
      </c>
      <c r="H27" s="82" t="s">
        <v>86</v>
      </c>
      <c r="I27" s="84" t="s">
        <v>87</v>
      </c>
      <c r="J27" s="82" t="s">
        <v>69</v>
      </c>
      <c r="K27" s="94" t="s">
        <v>135</v>
      </c>
      <c r="L27" s="77"/>
      <c r="M27" s="18"/>
      <c r="N27" s="144"/>
    </row>
    <row r="28" spans="1:16" ht="23" customHeight="1">
      <c r="A28" s="72"/>
      <c r="B28" s="73" t="s">
        <v>90</v>
      </c>
      <c r="C28" s="76">
        <f>(C26/C27)</f>
        <v>6.3703703703705761E-2</v>
      </c>
      <c r="D28" s="76"/>
      <c r="E28" s="77" t="s">
        <v>196</v>
      </c>
      <c r="F28" s="103">
        <f>C2*E2-1</f>
        <v>8</v>
      </c>
      <c r="G28" s="95">
        <f>M11</f>
        <v>1.2666666666667084</v>
      </c>
      <c r="H28" s="95"/>
      <c r="I28" s="77"/>
      <c r="J28" s="77"/>
      <c r="K28" s="77"/>
      <c r="L28" s="77"/>
      <c r="M28" s="32"/>
      <c r="O28" s="142"/>
    </row>
    <row r="29" spans="1:16" ht="23" customHeight="1">
      <c r="A29" s="82"/>
      <c r="B29" s="83" t="s">
        <v>113</v>
      </c>
      <c r="C29" s="84">
        <f>SQRT(C28)</f>
        <v>0.25239592648001624</v>
      </c>
      <c r="D29" s="77"/>
      <c r="E29" s="73" t="s">
        <v>70</v>
      </c>
      <c r="F29" s="105">
        <f>C2-1</f>
        <v>2</v>
      </c>
      <c r="G29" s="96">
        <f>M12</f>
        <v>1.2066666666667061</v>
      </c>
      <c r="H29" s="96">
        <f>G29/F29</f>
        <v>0.60333333333335304</v>
      </c>
      <c r="I29" s="117">
        <f>H29/$H$32</f>
        <v>9.4709302325581426</v>
      </c>
      <c r="J29" s="117">
        <f>FINV($F$1,F29,$F$32)</f>
        <v>3.5545571456617879</v>
      </c>
      <c r="K29" s="216" t="str">
        <f>IF(I29&gt;J29,"Reject", "Don't reject")</f>
        <v>Reject</v>
      </c>
      <c r="L29" s="216"/>
      <c r="M29" s="22"/>
      <c r="N29" s="139"/>
      <c r="O29" s="142"/>
    </row>
    <row r="30" spans="1:16" ht="23" customHeight="1">
      <c r="A30" s="85"/>
      <c r="B30" s="89" t="s">
        <v>41</v>
      </c>
      <c r="C30" s="87"/>
      <c r="D30" s="88"/>
      <c r="E30" s="88" t="s">
        <v>71</v>
      </c>
      <c r="F30" s="105">
        <f>E2-1</f>
        <v>2</v>
      </c>
      <c r="G30" s="96">
        <f>M13</f>
        <v>4.6666666666709489E-2</v>
      </c>
      <c r="H30" s="96">
        <f t="shared" ref="H30:H32" si="19">G30/F30</f>
        <v>2.3333333333354744E-2</v>
      </c>
      <c r="I30" s="117">
        <f t="shared" ref="I30:I31" si="20">H30/$H$32</f>
        <v>0.36627906976776614</v>
      </c>
      <c r="J30" s="117">
        <f>FINV($F$1,F30,$F$32)</f>
        <v>3.5545571456617879</v>
      </c>
      <c r="K30" s="216" t="str">
        <f t="shared" ref="K30:K31" si="21">IF(I30&gt;J30,"Reject", "Don't reject")</f>
        <v>Don't reject</v>
      </c>
      <c r="L30" s="216"/>
      <c r="M30" s="18"/>
      <c r="N30" s="144"/>
    </row>
    <row r="31" spans="1:16" ht="23" customHeight="1">
      <c r="A31" s="72"/>
      <c r="B31" s="73" t="s">
        <v>109</v>
      </c>
      <c r="C31" s="89">
        <f>C27</f>
        <v>18</v>
      </c>
      <c r="D31" s="77"/>
      <c r="E31" s="96" t="s">
        <v>169</v>
      </c>
      <c r="F31" s="105">
        <f>F29*F30</f>
        <v>4</v>
      </c>
      <c r="G31" s="96">
        <f>M14</f>
        <v>1.3333333333292785E-2</v>
      </c>
      <c r="H31" s="96">
        <f t="shared" si="19"/>
        <v>3.3333333333231963E-3</v>
      </c>
      <c r="I31" s="117">
        <f t="shared" si="20"/>
        <v>5.2325581395188017E-2</v>
      </c>
      <c r="J31" s="117">
        <f>FINV($F$1,F31,$F$32)</f>
        <v>2.9277441728071834</v>
      </c>
      <c r="K31" s="216" t="str">
        <f t="shared" si="21"/>
        <v>Don't reject</v>
      </c>
      <c r="L31" s="216"/>
      <c r="M31" s="18"/>
      <c r="N31" s="163"/>
      <c r="O31" s="142"/>
    </row>
    <row r="32" spans="1:16" ht="23" customHeight="1">
      <c r="A32" s="72"/>
      <c r="B32" s="73" t="s">
        <v>125</v>
      </c>
      <c r="C32" s="76">
        <f>TINV(1-H1,C27)</f>
        <v>2.1009220402410378</v>
      </c>
      <c r="D32" s="77"/>
      <c r="E32" s="95" t="s">
        <v>170</v>
      </c>
      <c r="F32" s="103">
        <f>C2*E2*(G2-1)</f>
        <v>18</v>
      </c>
      <c r="G32" s="95">
        <f>M15</f>
        <v>1.1466666666667038</v>
      </c>
      <c r="H32" s="95">
        <f t="shared" si="19"/>
        <v>6.3703703703705761E-2</v>
      </c>
      <c r="I32" s="95"/>
      <c r="J32" s="77"/>
      <c r="K32" s="77"/>
      <c r="L32" s="77"/>
      <c r="M32" s="18"/>
      <c r="N32" s="22"/>
      <c r="O32" s="142"/>
    </row>
    <row r="33" spans="1:35" ht="23" customHeight="1">
      <c r="A33" s="72"/>
      <c r="B33" s="73" t="s">
        <v>126</v>
      </c>
      <c r="C33" s="76">
        <f>C29/SQRT(G2)</f>
        <v>0.14572085609560237</v>
      </c>
      <c r="D33" s="77"/>
      <c r="E33" s="71" t="s">
        <v>67</v>
      </c>
      <c r="F33" s="104">
        <f>F28+F32</f>
        <v>26</v>
      </c>
      <c r="G33" s="76">
        <f>G28+G32</f>
        <v>2.4133333333334122</v>
      </c>
      <c r="H33" s="94"/>
      <c r="I33" s="76"/>
      <c r="J33" s="94"/>
      <c r="K33" s="77"/>
      <c r="L33" s="77"/>
      <c r="M33" s="18"/>
      <c r="N33" s="144"/>
    </row>
    <row r="34" spans="1:35" ht="23" customHeight="1">
      <c r="A34" s="72"/>
      <c r="B34" s="92" t="s">
        <v>83</v>
      </c>
      <c r="C34" s="168">
        <f>C32*C33</f>
        <v>0.30614815829404357</v>
      </c>
      <c r="D34" s="77"/>
      <c r="E34" s="76"/>
      <c r="F34" s="77"/>
      <c r="G34" s="76"/>
      <c r="H34" s="77"/>
      <c r="I34" s="76"/>
      <c r="J34" s="77"/>
      <c r="K34" s="77"/>
      <c r="L34" s="77"/>
      <c r="M34" s="18"/>
      <c r="N34" s="163"/>
      <c r="O34" s="142"/>
    </row>
    <row r="35" spans="1:35" ht="19" customHeight="1">
      <c r="B35" s="32"/>
      <c r="C35" s="32"/>
      <c r="D35" s="32"/>
      <c r="E35" s="32"/>
      <c r="F35" s="32"/>
      <c r="G35" s="70"/>
      <c r="H35" s="32"/>
      <c r="I35" s="32"/>
      <c r="J35" s="32"/>
      <c r="K35" s="32"/>
      <c r="L35" s="32"/>
      <c r="M35" s="18"/>
      <c r="N35" s="10"/>
      <c r="O35" s="142"/>
    </row>
    <row r="36" spans="1:35">
      <c r="D36" s="32"/>
      <c r="E36" s="32"/>
      <c r="F36" s="32"/>
      <c r="G36" s="32"/>
      <c r="H36" s="32"/>
      <c r="I36" s="32"/>
      <c r="J36" s="32"/>
      <c r="K36" s="32"/>
      <c r="L36" s="32"/>
      <c r="M36" s="18"/>
      <c r="N36" s="22"/>
    </row>
    <row r="37" spans="1:3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8"/>
      <c r="N37" s="19"/>
    </row>
    <row r="38" spans="1:3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8"/>
      <c r="N38" s="22"/>
    </row>
    <row r="39" spans="1: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8"/>
      <c r="N39" s="10"/>
    </row>
    <row r="40" spans="1:3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8"/>
      <c r="N40" s="10"/>
    </row>
    <row r="41" spans="1:3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8"/>
      <c r="N41" s="10"/>
    </row>
    <row r="42" spans="1:3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8"/>
      <c r="N42" s="10"/>
    </row>
    <row r="43" spans="1:3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35" s="15" customFormat="1">
      <c r="A44" s="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15" customFormat="1">
      <c r="A45" s="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15" customFormat="1">
      <c r="A46" s="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</sheetData>
  <mergeCells count="8">
    <mergeCell ref="C3:J3"/>
    <mergeCell ref="K29:L29"/>
    <mergeCell ref="K30:L30"/>
    <mergeCell ref="K31:L31"/>
    <mergeCell ref="B11:B16"/>
    <mergeCell ref="A5:A22"/>
    <mergeCell ref="B5:B10"/>
    <mergeCell ref="B17:B22"/>
  </mergeCells>
  <phoneticPr fontId="19" type="noConversion"/>
  <pageMargins left="0.75" right="0.75" top="1" bottom="1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Two-way ANOVA</vt:lpstr>
      <vt:lpstr>Two-way ANOVA (Handout)</vt:lpstr>
      <vt:lpstr>Two-way ANOVA (Handout) 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2015-04-29T14:13:34Z</cp:lastPrinted>
  <dcterms:created xsi:type="dcterms:W3CDTF">2011-03-14T14:57:13Z</dcterms:created>
  <dcterms:modified xsi:type="dcterms:W3CDTF">2015-04-29T17:21:40Z</dcterms:modified>
</cp:coreProperties>
</file>